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0" windowWidth="9420" windowHeight="4590" firstSheet="1" activeTab="2"/>
  </bookViews>
  <sheets>
    <sheet name="Sheet1" sheetId="1" r:id="rId1"/>
    <sheet name="Contents" sheetId="2" r:id="rId2"/>
    <sheet name="TRT-1" sheetId="3" r:id="rId3"/>
    <sheet name="TRT-3" sheetId="4" r:id="rId4"/>
    <sheet name="TRT-4" sheetId="5" r:id="rId5"/>
    <sheet name="TRT-5" sheetId="6" r:id="rId6"/>
    <sheet name="TRT-13" sheetId="7" r:id="rId7"/>
    <sheet name=" TRT-15" sheetId="8" r:id="rId8"/>
    <sheet name="TRT-16" sheetId="9" r:id="rId9"/>
    <sheet name="TRT-17" sheetId="10" r:id="rId10"/>
    <sheet name="TRT-18" sheetId="11" r:id="rId11"/>
    <sheet name="TRT-19" sheetId="12" r:id="rId12"/>
  </sheets>
  <externalReferences>
    <externalReference r:id="rId15"/>
  </externalReferences>
  <definedNames>
    <definedName name="_xlnm.Print_Area" localSheetId="7">' TRT-15'!$A$1:$R$137</definedName>
    <definedName name="_xlnm.Print_Area" localSheetId="1">'Contents'!$A$1:$F$75</definedName>
    <definedName name="_xlnm.Print_Area" localSheetId="0">'Sheet1'!$A$1:$H$31</definedName>
    <definedName name="_xlnm.Print_Area" localSheetId="2">'TRT-1'!$A$1:$T$567</definedName>
    <definedName name="_xlnm.Print_Area" localSheetId="6">'TRT-13'!$A$1:$M$106</definedName>
    <definedName name="_xlnm.Print_Area" localSheetId="8">'TRT-16'!$A$1:$M$42</definedName>
    <definedName name="_xlnm.Print_Area" localSheetId="9">'TRT-17'!$A$1:$M$43</definedName>
    <definedName name="_xlnm.Print_Area" localSheetId="11">'TRT-19'!$A$1:$Q$57</definedName>
    <definedName name="_xlnm.Print_Area" localSheetId="3">'TRT-3'!$A$1:$R$56</definedName>
    <definedName name="_xlnm.Print_Area" localSheetId="4">'TRT-4'!$A$1:$Q$26</definedName>
    <definedName name="_xlnm.Print_Area" localSheetId="5">'TRT-5'!$A$1:$I$44</definedName>
    <definedName name="_xlnm.Print_Titles" localSheetId="7">' TRT-15'!$1:$5</definedName>
    <definedName name="_xlnm.Print_Titles" localSheetId="2">'TRT-1'!$A:$E,'TRT-1'!$1:$10</definedName>
    <definedName name="_xlnm.Print_Titles" localSheetId="6">'TRT-13'!$1:$8</definedName>
    <definedName name="_xlnm.Print_Titles" localSheetId="3">'TRT-3'!$A:$C,'TRT-3'!$1:$6</definedName>
    <definedName name="_xlnm.Print_Titles" localSheetId="5">'TRT-5'!$1:$4</definedName>
  </definedNames>
  <calcPr fullCalcOnLoad="1"/>
</workbook>
</file>

<file path=xl/sharedStrings.xml><?xml version="1.0" encoding="utf-8"?>
<sst xmlns="http://schemas.openxmlformats.org/spreadsheetml/2006/main" count="2506" uniqueCount="777">
  <si>
    <t xml:space="preserve">50.0&lt;  F &gt;50.5  </t>
  </si>
  <si>
    <t>49.02&lt;  F &gt;49.5</t>
  </si>
  <si>
    <t xml:space="preserve"> Average Frequency (HZ) ( % of time )</t>
  </si>
  <si>
    <t>Excess drawal of energy(beyond schedule) during frequency above 50.5HZ (MU)</t>
  </si>
  <si>
    <t>Less drawal of energy(beyond schedule) during frequency above 50.5HZ (MU)</t>
  </si>
  <si>
    <t>Excess drawal of energy(beyond schedule) during frequency below 50.5HZ (MU)</t>
  </si>
  <si>
    <t>Licencee   GRIDCO</t>
  </si>
  <si>
    <t>POWER PURCHASED FROM GENERATORS</t>
  </si>
  <si>
    <t>EXPECTED FOR ENSUING YEAR (Projection/Generation Plan Submitted by Generator)</t>
  </si>
  <si>
    <t>Installed capacity (MW)</t>
  </si>
  <si>
    <t>Unit Size &amp; No of Units</t>
  </si>
  <si>
    <t>Unit</t>
  </si>
  <si>
    <t>STATE HYDRO STATION</t>
  </si>
  <si>
    <t xml:space="preserve"> ENERGY AVAILABLE FROM OHPC</t>
  </si>
  <si>
    <t xml:space="preserve">HIRAKUD </t>
  </si>
  <si>
    <t xml:space="preserve"> CHIPLIMA</t>
  </si>
  <si>
    <t>Sub Total</t>
  </si>
  <si>
    <t>RESERVOIR HEAD ON FIRST DAY OF THE MONTH</t>
  </si>
  <si>
    <t>PAF (Plant Availability Factor)</t>
  </si>
  <si>
    <t>TTPS  (NTPC)</t>
  </si>
  <si>
    <t>IPPs</t>
  </si>
  <si>
    <t>Total Net Generation</t>
  </si>
  <si>
    <t>Odisha Share</t>
  </si>
  <si>
    <t>NET ENERGY AVAILABLE TO ODISHA</t>
  </si>
  <si>
    <t>(B) GMR</t>
  </si>
  <si>
    <t xml:space="preserve"> ENERGY AVAILABLE</t>
  </si>
  <si>
    <t>FSTPS  (Stage - I)</t>
  </si>
  <si>
    <t>Net energy available for Shairing</t>
  </si>
  <si>
    <t>FORM  TRT-5</t>
  </si>
  <si>
    <t>Details of expenses</t>
  </si>
  <si>
    <t>RHEP</t>
  </si>
  <si>
    <t>UKHEP</t>
  </si>
  <si>
    <t>BHEP</t>
  </si>
  <si>
    <t>HHEP</t>
  </si>
  <si>
    <t>CHEP</t>
  </si>
  <si>
    <t>Sub-Total</t>
  </si>
  <si>
    <t>UIHEP</t>
  </si>
  <si>
    <t xml:space="preserve">Saleable Design Energy (MU) </t>
  </si>
  <si>
    <t xml:space="preserve">O&amp;M expenses </t>
  </si>
  <si>
    <t xml:space="preserve">Interest on working capital </t>
  </si>
  <si>
    <t>Total ARR (Rs. Crore)</t>
  </si>
  <si>
    <t>Name of the Power Stations</t>
  </si>
  <si>
    <t>Energy Charge Rate (P/U)</t>
  </si>
  <si>
    <t>Rengali HEP</t>
  </si>
  <si>
    <t>Upper Kolab HEP</t>
  </si>
  <si>
    <t>Balimela HEP</t>
  </si>
  <si>
    <t xml:space="preserve">Upper Indravati HEP </t>
  </si>
  <si>
    <t>Machhakund HEP</t>
  </si>
  <si>
    <t xml:space="preserve">Average cost (P/U) </t>
  </si>
  <si>
    <t>Actual energy sold to GRIDCO Previous year  (MU)</t>
  </si>
  <si>
    <t>Actual energy sold to GRIDCO upto date (MU)</t>
  </si>
  <si>
    <t>proposed energy purchased from OHPC for ensuing  year  (MU)</t>
  </si>
  <si>
    <t>Previous year approved</t>
  </si>
  <si>
    <t>Current year approved</t>
  </si>
  <si>
    <t>Ensuing year proposed</t>
  </si>
  <si>
    <t>Capacity Charge (Rs. crore)</t>
  </si>
  <si>
    <t>Actual Odisha drawal</t>
  </si>
  <si>
    <t>TSTPS  (Stage - I)</t>
  </si>
  <si>
    <t>TABLE OF CONTENTS FOR GRIDCO TARIFF GUIDE LINES</t>
  </si>
  <si>
    <t>Sheet No</t>
  </si>
  <si>
    <t>OERC FORM NO</t>
  </si>
  <si>
    <t>SUBJECT</t>
  </si>
  <si>
    <t>PAGE NO</t>
  </si>
  <si>
    <t>TECHNICAL</t>
  </si>
  <si>
    <t>Sheet T-1</t>
  </si>
  <si>
    <t>TRT-1</t>
  </si>
  <si>
    <t>Generation plan as proposed by Generators</t>
  </si>
  <si>
    <t>1-3</t>
  </si>
  <si>
    <t>Sheet T-2</t>
  </si>
  <si>
    <t>TRT-2</t>
  </si>
  <si>
    <t>Schedule of maintenance of Generators</t>
  </si>
  <si>
    <t>4-5</t>
  </si>
  <si>
    <t>Sheet T-3</t>
  </si>
  <si>
    <t>TRT-3</t>
  </si>
  <si>
    <t>Assessment of consumption</t>
  </si>
  <si>
    <t>Sheet T-4</t>
  </si>
  <si>
    <t>TRT-4</t>
  </si>
  <si>
    <t>Monthly Assessment of consumption</t>
  </si>
  <si>
    <t>Sheet T-5</t>
  </si>
  <si>
    <t>TRT-5</t>
  </si>
  <si>
    <t>Assessment of Demand</t>
  </si>
  <si>
    <t>Sheet T-6</t>
  </si>
  <si>
    <t>TRT-6</t>
  </si>
  <si>
    <t>Input to Orissa grid</t>
  </si>
  <si>
    <t>Sheet T-7</t>
  </si>
  <si>
    <t>TRT-7</t>
  </si>
  <si>
    <t>Output of EHT GRID S/S excluding Auto_transformers</t>
  </si>
  <si>
    <t>Sheet T-8</t>
  </si>
  <si>
    <t>TRT-8</t>
  </si>
  <si>
    <t>Calculation of transmission loss in EHT system</t>
  </si>
  <si>
    <t>Sheet T-9</t>
  </si>
  <si>
    <t>TRT-9</t>
  </si>
  <si>
    <t>Tariff for thermal station</t>
  </si>
  <si>
    <t>12-13</t>
  </si>
  <si>
    <t>Sheet T-10</t>
  </si>
  <si>
    <t>TRT-10</t>
  </si>
  <si>
    <t>Tariff for OHPC</t>
  </si>
  <si>
    <t>14</t>
  </si>
  <si>
    <t>Sheet T-11</t>
  </si>
  <si>
    <t>TRT-11</t>
  </si>
  <si>
    <t>Tariff for INDRAVATI</t>
  </si>
  <si>
    <t>15</t>
  </si>
  <si>
    <t>Sheet T-12</t>
  </si>
  <si>
    <t>TRT-12</t>
  </si>
  <si>
    <t>Tariff for  MACHHKUND</t>
  </si>
  <si>
    <t>16</t>
  </si>
  <si>
    <t>Sheet T-13</t>
  </si>
  <si>
    <t>TRT-13</t>
  </si>
  <si>
    <t>Tariff for CHUKHA</t>
  </si>
  <si>
    <t>17</t>
  </si>
  <si>
    <t>Sheet T-14</t>
  </si>
  <si>
    <t>TRT-14</t>
  </si>
  <si>
    <t>Tariff for CPPS</t>
  </si>
  <si>
    <t>18</t>
  </si>
  <si>
    <t>Sheet T-15</t>
  </si>
  <si>
    <t>TRT-15</t>
  </si>
  <si>
    <t>Fuel price adjustment for thermal stations (Except CPPS)</t>
  </si>
  <si>
    <t>19-21</t>
  </si>
  <si>
    <t>Sheet T-16</t>
  </si>
  <si>
    <t>TRT-16</t>
  </si>
  <si>
    <t>Transmission tariff for PGCIL Transmission system</t>
  </si>
  <si>
    <t>22</t>
  </si>
  <si>
    <t>Sheet T-17</t>
  </si>
  <si>
    <t>TRT-17</t>
  </si>
  <si>
    <t>Transmission charge &amp; transmission loss for PGCIL Transmission lines</t>
  </si>
  <si>
    <t>23-24</t>
  </si>
  <si>
    <t>Sheet T-18</t>
  </si>
  <si>
    <t>TRT-18</t>
  </si>
  <si>
    <t>Income Tax for generators</t>
  </si>
  <si>
    <t>25</t>
  </si>
  <si>
    <t>Sheet T-19</t>
  </si>
  <si>
    <t>TRT-19</t>
  </si>
  <si>
    <t>Water tax &amp; cess for thermal stations</t>
  </si>
  <si>
    <t>26</t>
  </si>
  <si>
    <t>Sheet T-20</t>
  </si>
  <si>
    <t>TRT-20</t>
  </si>
  <si>
    <t>Calculation of least cost power purchase cost</t>
  </si>
  <si>
    <t>27-29</t>
  </si>
  <si>
    <t>Sheet T-21</t>
  </si>
  <si>
    <t>TRT-21</t>
  </si>
  <si>
    <t>Power purchase at GRIDCO bus</t>
  </si>
  <si>
    <t>30</t>
  </si>
  <si>
    <t>Sheet T-22</t>
  </si>
  <si>
    <t>TRT-22</t>
  </si>
  <si>
    <t>Abstract of least cost power procurement</t>
  </si>
  <si>
    <t>31</t>
  </si>
  <si>
    <t>Sheet T-23</t>
  </si>
  <si>
    <t>TRT-23</t>
  </si>
  <si>
    <t>Expected Revenue from  charges (Ensuing year)</t>
  </si>
  <si>
    <t>32</t>
  </si>
  <si>
    <t>Sheet T-24</t>
  </si>
  <si>
    <t>TRT-24</t>
  </si>
  <si>
    <t>Bulk supply tariff Revision proposal</t>
  </si>
  <si>
    <t>33</t>
  </si>
  <si>
    <t>FINANCE</t>
  </si>
  <si>
    <t xml:space="preserve">Sheet F-1  </t>
  </si>
  <si>
    <t>TRF-1</t>
  </si>
  <si>
    <t>Information on Block Capital</t>
  </si>
  <si>
    <t>34</t>
  </si>
  <si>
    <t xml:space="preserve">Sheet F-2 </t>
  </si>
  <si>
    <t>TRF-2</t>
  </si>
  <si>
    <t>Project wise/Scheme wise Capital Expenditure</t>
  </si>
  <si>
    <t>35</t>
  </si>
  <si>
    <t xml:space="preserve">Sheet F-3  </t>
  </si>
  <si>
    <t>TRF-3</t>
  </si>
  <si>
    <t>Information on receipt &amp; repayment of loan</t>
  </si>
  <si>
    <t>36</t>
  </si>
  <si>
    <t xml:space="preserve">Sheet F-4  </t>
  </si>
  <si>
    <t>TRF-4</t>
  </si>
  <si>
    <t>Cost of Power of GRIDCO</t>
  </si>
  <si>
    <t>37</t>
  </si>
  <si>
    <t xml:space="preserve">Sheet F-5 </t>
  </si>
  <si>
    <t>TRF-5</t>
  </si>
  <si>
    <t>Revenue requirement</t>
  </si>
  <si>
    <t>38</t>
  </si>
  <si>
    <t xml:space="preserve">Sheet F-6 </t>
  </si>
  <si>
    <t>TRF-6</t>
  </si>
  <si>
    <t>Calculation of clear profit for the ensuing FY</t>
  </si>
  <si>
    <t>39-40</t>
  </si>
  <si>
    <t xml:space="preserve">Sheet F-7 </t>
  </si>
  <si>
    <t>TRF-7</t>
  </si>
  <si>
    <t>Calculation of capital base and reasonable return for ensuing FY</t>
  </si>
  <si>
    <t>41</t>
  </si>
  <si>
    <t>Sheet F-8</t>
  </si>
  <si>
    <t>TRF-8</t>
  </si>
  <si>
    <t xml:space="preserve">Proposed Charges, other than and in addition to the charges of tariff leviable for the purpose </t>
  </si>
  <si>
    <t>42</t>
  </si>
  <si>
    <t>Sheet F-9</t>
  </si>
  <si>
    <t>TRF-9</t>
  </si>
  <si>
    <t>Statement of Sundry debtors &amp; provision for bad &amp; doubtful debt</t>
  </si>
  <si>
    <t>43</t>
  </si>
  <si>
    <t>Sheet F-10</t>
  </si>
  <si>
    <t>TRF-10</t>
  </si>
  <si>
    <t>Information on Inventory</t>
  </si>
  <si>
    <t>44</t>
  </si>
  <si>
    <t>Sheet F-11</t>
  </si>
  <si>
    <t>TRF-11</t>
  </si>
  <si>
    <t>Information on Cash and Bank Balance</t>
  </si>
  <si>
    <t>45</t>
  </si>
  <si>
    <t>Sheet F-12</t>
  </si>
  <si>
    <t>TRF-12</t>
  </si>
  <si>
    <t>Statement of Share Capital</t>
  </si>
  <si>
    <t>46</t>
  </si>
  <si>
    <t>SheetF-13</t>
  </si>
  <si>
    <t>TRF-13</t>
  </si>
  <si>
    <t>Employees Cost</t>
  </si>
  <si>
    <t>47</t>
  </si>
  <si>
    <t>Sheet F-14</t>
  </si>
  <si>
    <t>TRF-14</t>
  </si>
  <si>
    <t>Repair &amp; Maintenance Expenses</t>
  </si>
  <si>
    <t>48</t>
  </si>
  <si>
    <t>Sheet F-15</t>
  </si>
  <si>
    <t>TRF-15</t>
  </si>
  <si>
    <t>Admin. &amp; General Expenses</t>
  </si>
  <si>
    <t>49</t>
  </si>
  <si>
    <t>Sheet F-16</t>
  </si>
  <si>
    <t>TRF-16</t>
  </si>
  <si>
    <t>Consolidated report on secured/unsecured loan</t>
  </si>
  <si>
    <t>50</t>
  </si>
  <si>
    <t>Sheet F-17</t>
  </si>
  <si>
    <t>TRF-17</t>
  </si>
  <si>
    <t>Consolidated report on capital work in progress</t>
  </si>
  <si>
    <t>51</t>
  </si>
  <si>
    <t>Sheet F-18</t>
  </si>
  <si>
    <t>TRF-18</t>
  </si>
  <si>
    <t>Consolidated report on addition to fixed assets during the year</t>
  </si>
  <si>
    <t>52</t>
  </si>
  <si>
    <t>Sheet F-19</t>
  </si>
  <si>
    <t>TRF-19</t>
  </si>
  <si>
    <t>Statements of assets not in use</t>
  </si>
  <si>
    <t>53</t>
  </si>
  <si>
    <t>Sheet F-20</t>
  </si>
  <si>
    <t>TRF-20</t>
  </si>
  <si>
    <t>Statements of special appropriation permitted by appropriate authority</t>
  </si>
  <si>
    <t>54</t>
  </si>
  <si>
    <t>Sheet F-21</t>
  </si>
  <si>
    <t>TRF-21</t>
  </si>
  <si>
    <t>Statement of Tariff/Dividend Control Reserve</t>
  </si>
  <si>
    <t>55</t>
  </si>
  <si>
    <t>Sheet F-22</t>
  </si>
  <si>
    <t>TRF-22</t>
  </si>
  <si>
    <t>Statement of Contingency Reserve</t>
  </si>
  <si>
    <t>56</t>
  </si>
  <si>
    <t>Sheet F-23</t>
  </si>
  <si>
    <t>TRF-23</t>
  </si>
  <si>
    <t>Statement of Fixed Assets &amp; Depreciation</t>
  </si>
  <si>
    <t>57</t>
  </si>
  <si>
    <t>Sheet F-24</t>
  </si>
  <si>
    <t>TRF-24</t>
  </si>
  <si>
    <t>Subsidy and Grants</t>
  </si>
  <si>
    <t>58</t>
  </si>
  <si>
    <t>Sheet F-25</t>
  </si>
  <si>
    <t>TRF-25</t>
  </si>
  <si>
    <t>Balance Sheet</t>
  </si>
  <si>
    <t>59</t>
  </si>
  <si>
    <t>Sheet F-26</t>
  </si>
  <si>
    <t>TRF-26</t>
  </si>
  <si>
    <t>Profit &amp; Loss Account</t>
  </si>
  <si>
    <t>60</t>
  </si>
  <si>
    <t>Sheet F-27</t>
  </si>
  <si>
    <t>TRF-27</t>
  </si>
  <si>
    <t>Additional Financial Information</t>
  </si>
  <si>
    <t>61</t>
  </si>
  <si>
    <t>PERFORMANCE DATA</t>
  </si>
  <si>
    <t>Sheet P-1</t>
  </si>
  <si>
    <t>TRP-1</t>
  </si>
  <si>
    <t>Voltage Fluctuation</t>
  </si>
  <si>
    <t>62</t>
  </si>
  <si>
    <t>Sheet P-2</t>
  </si>
  <si>
    <t>TRP-2</t>
  </si>
  <si>
    <t>Electrical Accidents</t>
  </si>
  <si>
    <t>63</t>
  </si>
  <si>
    <t>Sheet P-3</t>
  </si>
  <si>
    <t>TRP-3</t>
  </si>
  <si>
    <t>Abstract of unscheduled  trippings</t>
  </si>
  <si>
    <t>64</t>
  </si>
  <si>
    <t>Sheet P-4</t>
  </si>
  <si>
    <t>TRP-4</t>
  </si>
  <si>
    <t>Frequency Excursion</t>
  </si>
  <si>
    <t>65</t>
  </si>
  <si>
    <t>Sheet P-5</t>
  </si>
  <si>
    <t>TRP-5</t>
  </si>
  <si>
    <t>Failure of Transformers</t>
  </si>
  <si>
    <t>66</t>
  </si>
  <si>
    <t>Sheet P-6</t>
  </si>
  <si>
    <t>TRP-6</t>
  </si>
  <si>
    <t>Information for Time of Day Tariff</t>
  </si>
  <si>
    <t>67</t>
  </si>
  <si>
    <t>Sheet P-7</t>
  </si>
  <si>
    <t>TRP-7</t>
  </si>
  <si>
    <t>Interruptions</t>
  </si>
  <si>
    <t>68</t>
  </si>
  <si>
    <t>Sheet P-8</t>
  </si>
  <si>
    <t>TRP-8</t>
  </si>
  <si>
    <t>Availability of transmission lines for power supply</t>
  </si>
  <si>
    <t>69</t>
  </si>
  <si>
    <t>TRANSMISSION LINES &amp; GRID  SUB-STATIONS</t>
  </si>
  <si>
    <t>SheetTRL-1</t>
  </si>
  <si>
    <t>TRL-1</t>
  </si>
  <si>
    <t>Informations required for transmission tariff</t>
  </si>
  <si>
    <t>70</t>
  </si>
  <si>
    <t>SheetTRL-2</t>
  </si>
  <si>
    <t>TRL-2</t>
  </si>
  <si>
    <t>Grid sub-stations</t>
  </si>
  <si>
    <t>71</t>
  </si>
  <si>
    <t>SheetTRL-3</t>
  </si>
  <si>
    <t>TRL-3</t>
  </si>
  <si>
    <t>Abstract of Grid sub-stations</t>
  </si>
  <si>
    <t>72</t>
  </si>
  <si>
    <t>SheetTRL-4</t>
  </si>
  <si>
    <t>TRL-4</t>
  </si>
  <si>
    <t>Details of transmission lines (400 kv)</t>
  </si>
  <si>
    <t>73</t>
  </si>
  <si>
    <t>SheetTRL-5</t>
  </si>
  <si>
    <t>TRL-5</t>
  </si>
  <si>
    <t>Details of transmission lines (220kv)</t>
  </si>
  <si>
    <t>74</t>
  </si>
  <si>
    <t>SheetTRL-6</t>
  </si>
  <si>
    <t>TRL-6</t>
  </si>
  <si>
    <t>Details of transmission lines (132 kv)</t>
  </si>
  <si>
    <t>75</t>
  </si>
  <si>
    <t>SheetTRL-7</t>
  </si>
  <si>
    <t>TRL-7</t>
  </si>
  <si>
    <t>Details of transmission lines (66 kv)</t>
  </si>
  <si>
    <t>76</t>
  </si>
  <si>
    <t>SheetTRL-8</t>
  </si>
  <si>
    <t>TRL-8</t>
  </si>
  <si>
    <t xml:space="preserve">Abstract of Transmission lines </t>
  </si>
  <si>
    <t>77</t>
  </si>
  <si>
    <t>SheetTRL-9</t>
  </si>
  <si>
    <t>TRL-9</t>
  </si>
  <si>
    <t>Abstract of Transmission lines &amp; Grid sub-stations</t>
  </si>
  <si>
    <t>78</t>
  </si>
  <si>
    <t>CESU</t>
  </si>
  <si>
    <t>TOTAL DISCOMs</t>
  </si>
  <si>
    <t>PERIOD</t>
  </si>
  <si>
    <t>Emergency supply of power to NALCO</t>
  </si>
  <si>
    <t>Trading of Power</t>
  </si>
  <si>
    <t>TRANSMISSION LOSS (%)</t>
  </si>
  <si>
    <t>Emergency supply of power to ICCL</t>
  </si>
  <si>
    <t>TOTAL POWER SOLD BY GRIDCO</t>
  </si>
  <si>
    <t>Licencee : GRIDCO</t>
  </si>
  <si>
    <t>DISCOMs Name</t>
  </si>
  <si>
    <t>TSTPS  (Stage - II)</t>
  </si>
  <si>
    <t>KHSTPS  (Stage - I)</t>
  </si>
  <si>
    <t>KHSTPS  (Stage -II)</t>
  </si>
  <si>
    <t>TOTALCENTRAL SECTOR THERMAL (ODISHA SHARE)</t>
  </si>
  <si>
    <t>NETENERGY DRAWAL</t>
  </si>
  <si>
    <t>TALA</t>
  </si>
  <si>
    <t>TEESTA</t>
  </si>
  <si>
    <t>TOTALCENTRAL SECTOR HYDRO (ODISHA SHARE)</t>
  </si>
  <si>
    <t>TOTALCENTRAL SECTOR (ODISHA SHARE)</t>
  </si>
  <si>
    <t>DRAWAL FROM SURPLUS POWER FROM CGPs</t>
  </si>
  <si>
    <t>Name of CGP</t>
  </si>
  <si>
    <t>DRAWAL FROM SURPLUS POWER FROM CO GENERATON PLANTS</t>
  </si>
  <si>
    <t>Name of Co Generation Plants</t>
  </si>
  <si>
    <t>DRAWAL FROM RENEWABLE SOURCES</t>
  </si>
  <si>
    <t>SMALL HYDRO</t>
  </si>
  <si>
    <t xml:space="preserve"> Energy Available</t>
  </si>
  <si>
    <t>SOLAR</t>
  </si>
  <si>
    <t>BIOMASS</t>
  </si>
  <si>
    <t>TOTAL ENERGY DRAWAL</t>
  </si>
  <si>
    <t>Fixed costs as a % of total costs</t>
  </si>
  <si>
    <t>Variable costs as a % of total costs</t>
  </si>
  <si>
    <t>TRANMISSION LOSS FOR PGCIL TRANSMISSION LINES</t>
  </si>
  <si>
    <t>SUMMERY OF UNSCHEDULE INTERCHANGE  (UI)</t>
  </si>
  <si>
    <t>OERC</t>
  </si>
  <si>
    <t>MU</t>
  </si>
  <si>
    <t>MW</t>
  </si>
  <si>
    <t>Rs./KVA</t>
  </si>
  <si>
    <t>P/Kwh</t>
  </si>
  <si>
    <t>Rs. Crs.</t>
  </si>
  <si>
    <t>%</t>
  </si>
  <si>
    <t>P/KWH</t>
  </si>
  <si>
    <t>Sl.No.</t>
  </si>
  <si>
    <t>UNIT</t>
  </si>
  <si>
    <t>CESCO</t>
  </si>
  <si>
    <t>NESCO</t>
  </si>
  <si>
    <t>WESCO</t>
  </si>
  <si>
    <t>SOUTHCO</t>
  </si>
  <si>
    <t>CATEGORY --&gt;</t>
  </si>
  <si>
    <t>TOTAL</t>
  </si>
  <si>
    <t>PERIOD-</t>
  </si>
  <si>
    <t>SL.NO</t>
  </si>
  <si>
    <t>BALIMELA</t>
  </si>
  <si>
    <t>RENGALI</t>
  </si>
  <si>
    <t>TTPS</t>
  </si>
  <si>
    <t>NALCO</t>
  </si>
  <si>
    <t>I</t>
  </si>
  <si>
    <t>NET ENERGY REQUIREMENT</t>
  </si>
  <si>
    <t>NOTE  :---</t>
  </si>
  <si>
    <t>DATA FOR PREVIOUS YEAR/IST SIX MONTHS OF THE CURRENT YEAR/</t>
  </si>
  <si>
    <t>LAST SIX MONTHS OF THE CURRENT YEAR/ENSUING YEAR SHOULD BE SUBMITTED IN SEPARATE FORMS</t>
  </si>
  <si>
    <t>U.KOLAB</t>
  </si>
  <si>
    <t>INDRAVATI</t>
  </si>
  <si>
    <t>IBTPS</t>
  </si>
  <si>
    <t>Total</t>
  </si>
  <si>
    <t>CHUKHA</t>
  </si>
  <si>
    <t>GRIDCO</t>
  </si>
  <si>
    <t>All Figures Expressed In MVA.</t>
  </si>
  <si>
    <t>Sl. No.</t>
  </si>
  <si>
    <t>Distco Name</t>
  </si>
  <si>
    <t>AVERAGE</t>
  </si>
  <si>
    <t>MAXIMUM</t>
  </si>
  <si>
    <t>AVERAGEFOR 5 MONTHS</t>
  </si>
  <si>
    <t>II</t>
  </si>
  <si>
    <t>III</t>
  </si>
  <si>
    <t>IV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</si>
  <si>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</si>
  <si>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</si>
  <si>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</si>
  <si>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</si>
  <si>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</si>
  <si>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</si>
  <si>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</si>
  <si>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</si>
  <si>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</si>
  <si>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</si>
  <si>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</si>
  <si>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</si>
  <si>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V</t>
  </si>
  <si>
    <t>TOTAL EREB</t>
  </si>
  <si>
    <t>ASSESSMENT OF DEMAND</t>
  </si>
  <si>
    <t>All Figures Expressed In MU</t>
  </si>
  <si>
    <t>SYSTEM POWER FACTOR (MWH/MVAH)</t>
  </si>
  <si>
    <t>ANNUAL</t>
  </si>
  <si>
    <t>MONTHLY ASSESSMENT OF CONSUMPTION</t>
  </si>
  <si>
    <t>UNITS</t>
  </si>
  <si>
    <t>NET ENERGY AVAILABLE</t>
  </si>
  <si>
    <t>MACHHKUND</t>
  </si>
  <si>
    <t>CENTRAL SECTOR STATIONS</t>
  </si>
  <si>
    <t>GENERATING STATION</t>
  </si>
  <si>
    <t>TOTAL OHPC</t>
  </si>
  <si>
    <t>STATE THERMAL STATIONS</t>
  </si>
  <si>
    <t xml:space="preserve">TOTALSTATE </t>
  </si>
  <si>
    <t>METRES</t>
  </si>
  <si>
    <t>ACTUALS FOR PREVIOUS YEAR</t>
  </si>
  <si>
    <t>ACTUALS FOR IST SIX MONTHS OF THE CURRENT YEAR</t>
  </si>
  <si>
    <t>EXPECTED FOR LAST SIX MONTHS OF THE CURRENT YEAR</t>
  </si>
  <si>
    <t>EXPECTED FOR ENSUING YEAR</t>
  </si>
  <si>
    <t>CHIPLIMA</t>
  </si>
  <si>
    <t>MONTHS</t>
  </si>
  <si>
    <t>6</t>
  </si>
  <si>
    <t>7</t>
  </si>
  <si>
    <t>8</t>
  </si>
  <si>
    <t>9</t>
  </si>
  <si>
    <t>10</t>
  </si>
  <si>
    <t>11</t>
  </si>
  <si>
    <t>TR.LOSS</t>
  </si>
  <si>
    <t>TARIFF FOR  OHPC</t>
  </si>
  <si>
    <t>OPGC</t>
  </si>
  <si>
    <t>PEAK/OFF-PEAK HOURS TO BE SPECIFIED BY LICENCEE</t>
  </si>
  <si>
    <t xml:space="preserve">DEMAND CHARGE </t>
  </si>
  <si>
    <t xml:space="preserve">ENERGY CHARGE </t>
  </si>
  <si>
    <t xml:space="preserve">AVERAGE CHARGE </t>
  </si>
  <si>
    <t xml:space="preserve">REVENUE FROM DEMAND CHARGE </t>
  </si>
  <si>
    <t xml:space="preserve">REVENUE FROM ENERGY CHARGE </t>
  </si>
  <si>
    <t>REVENUE FROM FUEL SURCHARGE</t>
  </si>
  <si>
    <t xml:space="preserve"> FUEL SURCHARGE</t>
  </si>
  <si>
    <t xml:space="preserve">OTHER CHARGES IF ANY </t>
  </si>
  <si>
    <t>REVENUE FROM OTHER CHARGE</t>
  </si>
  <si>
    <t>WHEELING CHARGES</t>
  </si>
  <si>
    <t>MISC. REVENUE</t>
  </si>
  <si>
    <t>MISC. REVENUE IF ANY</t>
  </si>
  <si>
    <t>Income Tax</t>
  </si>
  <si>
    <t xml:space="preserve">ADDITIONAL REVENUE DUE TO REVISION PROPOSED </t>
  </si>
  <si>
    <t>NET TOTAL REVENUE (BI-LATERAL)</t>
  </si>
  <si>
    <t>REBATE (TOTAL)</t>
  </si>
  <si>
    <t>REBATE (RATE)</t>
  </si>
  <si>
    <t>FORM  TRT-1</t>
  </si>
  <si>
    <t>FORM  TRT-3</t>
  </si>
  <si>
    <t>FORM  TRT-4</t>
  </si>
  <si>
    <t>FORM  TRT-16</t>
  </si>
  <si>
    <t>FORM  TRT-17</t>
  </si>
  <si>
    <t>FORM  TRT-19</t>
  </si>
  <si>
    <t>ACTUALS/EXPECTED  FOR  THE CURRENT YEAR</t>
  </si>
  <si>
    <t>SEPT.</t>
  </si>
  <si>
    <t>OCT.</t>
  </si>
  <si>
    <t>NOV.</t>
  </si>
  <si>
    <t>DEC.</t>
  </si>
  <si>
    <t>JAN.</t>
  </si>
  <si>
    <t>FEB.</t>
  </si>
  <si>
    <t>FEET</t>
  </si>
  <si>
    <t>Based on GRIDCO drawal</t>
  </si>
  <si>
    <t>Generation Schedule</t>
  </si>
  <si>
    <t>Total Loss</t>
  </si>
  <si>
    <t>Toal Schedule after loss</t>
  </si>
  <si>
    <t>% Loss</t>
  </si>
  <si>
    <t>p/kWh</t>
  </si>
  <si>
    <t>Depreciation</t>
  </si>
  <si>
    <t>Interest on loan</t>
  </si>
  <si>
    <t>Return on Equity</t>
  </si>
  <si>
    <t>MONTH</t>
  </si>
  <si>
    <t>Schedule energy (MU)</t>
  </si>
  <si>
    <t>Actual drawal (MU)</t>
  </si>
  <si>
    <t>UI Received (Rs Cr)</t>
  </si>
  <si>
    <t>Net UI Received (Rs Cr)</t>
  </si>
  <si>
    <t>UI Paid (Rs Cr)</t>
  </si>
  <si>
    <t>Below 49.02</t>
  </si>
  <si>
    <t>49.5&lt;  F &gt;50.0</t>
  </si>
  <si>
    <t>Station wiseCapacity Charge &amp; Energy Charge</t>
  </si>
  <si>
    <t>Rs. Crore</t>
  </si>
  <si>
    <t>TOTAL GRIDCO DRAWAL (Excluding Loss)</t>
  </si>
  <si>
    <t>FORM  TRT-13</t>
  </si>
  <si>
    <t>Fixed Cost of the Station (Rs. Crore)</t>
  </si>
  <si>
    <t>Fixed Cost for GRIDCO (Rs. Crore)</t>
  </si>
  <si>
    <t>Total Cost including Transmission charge (Rs. in Crore)</t>
  </si>
  <si>
    <t>Total rate including Transmission charge (P/KWH)</t>
  </si>
  <si>
    <t>Transmission charge (P/KWH)</t>
  </si>
  <si>
    <t>Solar</t>
  </si>
  <si>
    <t>BULK SUPPLY PRICE  REVISION  PROPOSAL</t>
  </si>
  <si>
    <t xml:space="preserve"> TOTAL REVENUE (DISCOMS) </t>
  </si>
  <si>
    <t>DISCOMS</t>
  </si>
  <si>
    <t>NET TOTAL REVENUE (DISCOMS)</t>
  </si>
  <si>
    <t>INTER STATE BILATERAL  SALE/CGPS</t>
  </si>
  <si>
    <t>IMFA</t>
  </si>
  <si>
    <t>OTHER CGPS</t>
  </si>
  <si>
    <t>OTHER STATE</t>
  </si>
  <si>
    <t>GROSS TOTAL REVENUE</t>
  </si>
  <si>
    <t xml:space="preserve"> TOTAL REVENUE </t>
  </si>
  <si>
    <t>MISC. REVENUE (IF ANY)</t>
  </si>
  <si>
    <t>Licencee:  GRIDCO</t>
  </si>
  <si>
    <t>EXPECTED REVENUE WITH ANTICIPATED SALE AT EXISTING RATES  FOR ENSUING YEAR</t>
  </si>
  <si>
    <t>PROPOSED REVENUE WITH ANTICIPATED SALE AT PROPOSED RATES FOR ENSUING YEAR</t>
  </si>
  <si>
    <t>ACTUAL REVENUE WITH ACTUAL SALE FOR PREVIOUS YEAR</t>
  </si>
  <si>
    <t>EXPECTED REVENUE WITH ANTICIPATED SALE AT EXISTING RATES  FOR CURRENT YEAR</t>
  </si>
  <si>
    <t xml:space="preserve"> SALE DURING THE  YEAR </t>
  </si>
  <si>
    <t xml:space="preserve">ANTICIPATED SALE DURING THE ENSUING YEAR </t>
  </si>
  <si>
    <t xml:space="preserve">CONTRACT DEMAND </t>
  </si>
  <si>
    <t>BILLING DEMAND</t>
  </si>
  <si>
    <t xml:space="preserve">BILLING DEMAND </t>
  </si>
  <si>
    <t xml:space="preserve"> SALE DURING THE YEAR </t>
  </si>
  <si>
    <t>Less drawal of energy (beyond schedule) during frequency below 50.5HZ (MU)</t>
  </si>
  <si>
    <t>REVENUE FROM CHARGES</t>
  </si>
  <si>
    <t>Licencee :  GRIDCO</t>
  </si>
  <si>
    <t>ORIGINAL FORMAT</t>
  </si>
  <si>
    <t>REVISED FORMAT</t>
  </si>
  <si>
    <t>TRT NO.</t>
  </si>
  <si>
    <t>ACTION TAKEN</t>
  </si>
  <si>
    <t>Revised</t>
  </si>
  <si>
    <t>No change</t>
  </si>
  <si>
    <t>Deleted</t>
  </si>
  <si>
    <t>-</t>
  </si>
  <si>
    <t>Not related to GRIDCO. To be incorporate in OPTCL Format.</t>
  </si>
  <si>
    <t>All the formats merged to one format.</t>
  </si>
  <si>
    <t>TRT-6 &amp; TRT- 9</t>
  </si>
  <si>
    <t>One format for State Thermal station &amp; another format for Central Thermal station.</t>
  </si>
  <si>
    <t>Revised and also format for Teesta &amp; Tala is included.</t>
  </si>
  <si>
    <t>Revised and also format for renewable source  is included.</t>
  </si>
  <si>
    <t>Revised &amp; new formula &amp; Data as per CERC regulation is included.</t>
  </si>
  <si>
    <t>TRT-11 &amp; TRT-12</t>
  </si>
  <si>
    <t>TRT-25</t>
  </si>
  <si>
    <t>TRT-26</t>
  </si>
  <si>
    <t>Details of Trading &amp; Export</t>
  </si>
  <si>
    <t>Summery of Unschedule Interchange</t>
  </si>
  <si>
    <t>.1-3</t>
  </si>
  <si>
    <t>8 &amp;11</t>
  </si>
  <si>
    <t>.13-14</t>
  </si>
  <si>
    <t>TARIFF GUIDELINES FOR GRIDCO</t>
  </si>
  <si>
    <t>Underdrwal in MU</t>
  </si>
  <si>
    <t>Water tax &amp; cess for thermal stations (UI TRT)</t>
  </si>
  <si>
    <t>2012-13</t>
  </si>
  <si>
    <t>2013-14</t>
  </si>
  <si>
    <t>2014-15</t>
  </si>
  <si>
    <t xml:space="preserve">                   </t>
  </si>
  <si>
    <t>DAYS</t>
  </si>
  <si>
    <t>RSP</t>
  </si>
  <si>
    <t>HINDALCO</t>
  </si>
  <si>
    <t>NBVL</t>
  </si>
  <si>
    <t>Vedant , Budhipadar (Jharsuguda)</t>
  </si>
  <si>
    <t>JIndal Stainless Ltd.,Duburi</t>
  </si>
  <si>
    <t>Bhusan S&amp;P, Jharsuguda</t>
  </si>
  <si>
    <t>OCL Iron &amp; Steel LTD</t>
  </si>
  <si>
    <t>Rathi Steel &amp; Power</t>
  </si>
  <si>
    <t>OSISL, Polasponga</t>
  </si>
  <si>
    <t>Jindal Steel&amp;Power Angul</t>
  </si>
  <si>
    <t>MSP, Jharsuguda</t>
  </si>
  <si>
    <t>NINL</t>
  </si>
  <si>
    <t>ARATI STEEL</t>
  </si>
  <si>
    <t>Tata Sponge</t>
  </si>
  <si>
    <t>SMC Power</t>
  </si>
  <si>
    <t>Pattnaik Steel, Polasponga</t>
  </si>
  <si>
    <t>IFFCO</t>
  </si>
  <si>
    <t>VISA Steel</t>
  </si>
  <si>
    <t>VEDANTA, Lanjigarh</t>
  </si>
  <si>
    <t>SHYAM DRI</t>
  </si>
  <si>
    <t>BHUSAN Steel Ltd.</t>
  </si>
  <si>
    <t>SREE Mahavir Ferro Alloys.</t>
  </si>
  <si>
    <t>Action Ispat</t>
  </si>
  <si>
    <t>Aryan Ispat</t>
  </si>
  <si>
    <t>Facor</t>
  </si>
  <si>
    <t xml:space="preserve"> </t>
  </si>
  <si>
    <t>Maithan Ispat</t>
  </si>
  <si>
    <t>Meenaksi SHEP</t>
  </si>
  <si>
    <t>Samal SHEP</t>
  </si>
  <si>
    <t xml:space="preserve">ENERGY CHARGE  </t>
  </si>
  <si>
    <t>FSTPS  (Stage - III)</t>
  </si>
  <si>
    <t xml:space="preserve">          (-ve) means drawl by GRIDCO.</t>
  </si>
  <si>
    <t xml:space="preserve">          (+ve) means injection by GRIDCO.</t>
  </si>
  <si>
    <t>Supply of power to Arti steel</t>
  </si>
  <si>
    <t>FSTPS-III</t>
  </si>
  <si>
    <t>KhTPS St-I</t>
  </si>
  <si>
    <t>TSTPS St-II</t>
  </si>
  <si>
    <t>KhTPS St-II</t>
  </si>
  <si>
    <t>Teesta-V</t>
  </si>
  <si>
    <t>FSTPS I &amp; II</t>
  </si>
  <si>
    <t>TSTPS-II</t>
  </si>
  <si>
    <t>TSTPS-I</t>
  </si>
  <si>
    <t>Total DRAWAL FROM SURPLUS POWER FROM CGPs</t>
  </si>
  <si>
    <t>Shalivahan Bio-mass</t>
  </si>
  <si>
    <t>.</t>
  </si>
  <si>
    <t>Total EREB</t>
  </si>
  <si>
    <t>Tala HPS</t>
  </si>
  <si>
    <t>TSTPS St-I</t>
  </si>
  <si>
    <t>StateTotal</t>
  </si>
  <si>
    <t>M/s. GMR Kamalanga Energy Ltd.</t>
  </si>
  <si>
    <t>Sterilite Energy</t>
  </si>
  <si>
    <t>CGP</t>
  </si>
  <si>
    <t>Co- Generating Stations</t>
  </si>
  <si>
    <t>Biomanss Energy</t>
  </si>
  <si>
    <t xml:space="preserve">Samal Small Hydro </t>
  </si>
  <si>
    <t>Minakshi Small Hydro</t>
  </si>
  <si>
    <t>Reenewable Energy  Source</t>
  </si>
  <si>
    <t>Machakund</t>
  </si>
  <si>
    <t>Indravati</t>
  </si>
  <si>
    <t>Upper Kolab</t>
  </si>
  <si>
    <t xml:space="preserve">Hirakud </t>
  </si>
  <si>
    <t>(Rs.Cr.)</t>
  </si>
  <si>
    <t>P/U</t>
  </si>
  <si>
    <t>Rs. Cr.</t>
  </si>
  <si>
    <t>V.C</t>
  </si>
  <si>
    <t>Total cost</t>
  </si>
  <si>
    <t>Total Rate</t>
  </si>
  <si>
    <t>Yr.E.A.</t>
  </si>
  <si>
    <t>F.P.A.</t>
  </si>
  <si>
    <t>F.C</t>
  </si>
  <si>
    <t xml:space="preserve">Fixed Cost of the Station </t>
  </si>
  <si>
    <t>Drawal  by GRIDCO</t>
  </si>
  <si>
    <t>Gridco Share</t>
  </si>
  <si>
    <t>Share(%)</t>
  </si>
  <si>
    <t>Generators</t>
  </si>
  <si>
    <t>PGCIL Trans. Cost</t>
  </si>
  <si>
    <t>SOC &amp; MOC Charges</t>
  </si>
  <si>
    <t>Power banking</t>
  </si>
  <si>
    <t>TTPS (OD)</t>
  </si>
  <si>
    <t>Biomas</t>
  </si>
  <si>
    <t>Chukka</t>
  </si>
  <si>
    <t>KHSTPS St-II</t>
  </si>
  <si>
    <t>KHSTPS St-I</t>
  </si>
  <si>
    <t>Trading</t>
  </si>
  <si>
    <t>TTPS (UI-OD)</t>
  </si>
  <si>
    <t>Rengali</t>
  </si>
  <si>
    <t>Balimela</t>
  </si>
  <si>
    <t>Chipilima</t>
  </si>
  <si>
    <t xml:space="preserve">Drawal  by GRIDCO </t>
  </si>
  <si>
    <t>SUMMERY OF POWER PURCHASE COST</t>
  </si>
  <si>
    <t>Licencee GRIDCO.…Ltd................................</t>
  </si>
  <si>
    <t>SCAW(Narverum)</t>
  </si>
  <si>
    <t>Yazdani</t>
  </si>
  <si>
    <t>Period 2014-15</t>
  </si>
  <si>
    <t>Avg.% Loss</t>
  </si>
  <si>
    <t>Avg TR. LOSS %</t>
  </si>
  <si>
    <t>KhSTPS-II</t>
  </si>
  <si>
    <t>KhSTPS-I</t>
  </si>
  <si>
    <t>FSTPS-I&amp;II</t>
  </si>
  <si>
    <t>Wt Avg.TR.LOSS</t>
  </si>
  <si>
    <t>Mar'14</t>
  </si>
  <si>
    <t>Feb'14</t>
  </si>
  <si>
    <t>Jan'14</t>
  </si>
  <si>
    <t>Dec'13</t>
  </si>
  <si>
    <t>Nov'13</t>
  </si>
  <si>
    <t>Oct'13</t>
  </si>
  <si>
    <t>Sep'13</t>
  </si>
  <si>
    <t>Aug'13</t>
  </si>
  <si>
    <t>July'13</t>
  </si>
  <si>
    <t>Jun'13</t>
  </si>
  <si>
    <t>May'13</t>
  </si>
  <si>
    <t>Apr'13</t>
  </si>
  <si>
    <t>Period 2013-14</t>
  </si>
  <si>
    <t>MVA</t>
  </si>
  <si>
    <t xml:space="preserve"> TRT-15</t>
  </si>
  <si>
    <r>
      <t xml:space="preserve">Over </t>
    </r>
    <r>
      <rPr>
        <b/>
        <sz val="14"/>
        <color indexed="10"/>
        <rFont val="Arial"/>
        <family val="2"/>
      </rPr>
      <t>/ Under drawal</t>
    </r>
    <r>
      <rPr>
        <b/>
        <sz val="14"/>
        <rFont val="Arial"/>
        <family val="2"/>
      </rPr>
      <t xml:space="preserve"> (MU)</t>
    </r>
  </si>
  <si>
    <r>
      <t xml:space="preserve">Above 50.2 </t>
    </r>
    <r>
      <rPr>
        <b/>
        <sz val="14"/>
        <color indexed="10"/>
        <rFont val="Arial"/>
        <family val="2"/>
      </rPr>
      <t>(50.5)</t>
    </r>
  </si>
  <si>
    <r>
      <t xml:space="preserve">Over </t>
    </r>
    <r>
      <rPr>
        <b/>
        <sz val="12"/>
        <color indexed="10"/>
        <rFont val="Arial"/>
        <family val="2"/>
      </rPr>
      <t>/ Under drawal</t>
    </r>
    <r>
      <rPr>
        <b/>
        <sz val="12"/>
        <rFont val="Arial"/>
        <family val="2"/>
      </rPr>
      <t xml:space="preserve"> (MU)</t>
    </r>
  </si>
  <si>
    <r>
      <t xml:space="preserve">Above 50.2 </t>
    </r>
    <r>
      <rPr>
        <b/>
        <sz val="12"/>
        <color indexed="10"/>
        <rFont val="Arial"/>
        <family val="2"/>
      </rPr>
      <t>(50.5)</t>
    </r>
  </si>
  <si>
    <t>2015-16</t>
  </si>
  <si>
    <t>SUMMERY OF TRADING(PURCHASE)</t>
  </si>
  <si>
    <t>Avg. Rate P/U</t>
  </si>
  <si>
    <t>Billed Amount (Rs. In Cr.)</t>
  </si>
  <si>
    <t>Energy in MU</t>
  </si>
  <si>
    <t>TOTAL TRADING</t>
  </si>
  <si>
    <t>PXIL</t>
  </si>
  <si>
    <t>IEX</t>
  </si>
  <si>
    <t>NVVN</t>
  </si>
  <si>
    <t>PTC</t>
  </si>
  <si>
    <t>SUMMERY OF TRADING(SALE)</t>
  </si>
  <si>
    <t>B.</t>
  </si>
  <si>
    <t>DETAILS OF TRADING &amp; EXPORT</t>
  </si>
  <si>
    <t>FORM  TRT-18</t>
  </si>
  <si>
    <t>Grand-total</t>
  </si>
  <si>
    <t>RTC</t>
  </si>
  <si>
    <t>Off-Peak</t>
  </si>
  <si>
    <t>Peak</t>
  </si>
  <si>
    <t>Sub-total</t>
  </si>
  <si>
    <t>PARTY-D</t>
  </si>
  <si>
    <t>PARTY-C</t>
  </si>
  <si>
    <t>PARTY-B</t>
  </si>
  <si>
    <t>PARTY-A</t>
  </si>
  <si>
    <t>Rebate</t>
  </si>
  <si>
    <t>Other Charges</t>
  </si>
  <si>
    <t>Open Access Charges</t>
  </si>
  <si>
    <t>Amount Sold</t>
  </si>
  <si>
    <t>Sale Price/ Unit</t>
  </si>
  <si>
    <t>Net MU Sold</t>
  </si>
  <si>
    <t>Open Access  Loss in MU</t>
  </si>
  <si>
    <t>Approved MW</t>
  </si>
  <si>
    <t>Contracted MW</t>
  </si>
  <si>
    <t>Quantity in MU</t>
  </si>
  <si>
    <t>Peak/Off-Peak/RTC</t>
  </si>
  <si>
    <t>Sold To</t>
  </si>
  <si>
    <t>DETAILS OF EXPORT  (Month-Wise )</t>
  </si>
  <si>
    <t>A.</t>
  </si>
  <si>
    <t xml:space="preserve">s </t>
  </si>
  <si>
    <t>Apr'14</t>
  </si>
  <si>
    <t>May'14</t>
  </si>
  <si>
    <t>Jun'14</t>
  </si>
  <si>
    <t>July'14</t>
  </si>
  <si>
    <t>Aug'14</t>
  </si>
  <si>
    <t>Sep'14</t>
  </si>
  <si>
    <t>Oct'14</t>
  </si>
  <si>
    <t>Nov'14</t>
  </si>
  <si>
    <t>Dec'14</t>
  </si>
  <si>
    <t>Jan'15</t>
  </si>
  <si>
    <t>Feb'15</t>
  </si>
  <si>
    <t>Mar'15</t>
  </si>
  <si>
    <t>Period 2015-16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</si>
  <si>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</si>
  <si>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SEVEN STAR</t>
  </si>
  <si>
    <t>SHREE GANESH</t>
  </si>
  <si>
    <t>ADITYA ALU LTD</t>
  </si>
  <si>
    <t>IPPs (SSL)</t>
  </si>
  <si>
    <t>Amount (Rs. In Cr.)</t>
  </si>
  <si>
    <t>TOTAL PURCHASE</t>
  </si>
  <si>
    <t>ACTUALS/EXPECTED  FOR  THE CURRENT YEAR(2014-15)</t>
  </si>
  <si>
    <t>ACTUALS  FOR  THE PREVIOUS YEAR(2013-14)</t>
  </si>
  <si>
    <t>Barh STPS  (Stage - I &amp; II)</t>
  </si>
  <si>
    <t>JITPL</t>
  </si>
  <si>
    <t>NVBL</t>
  </si>
  <si>
    <t>NET ENERGY AVAILABLE TO ODISHA (IPPS)</t>
  </si>
  <si>
    <t>Station wise ARR &amp; Average Tariff  proposed for ensuing Year-2015-16</t>
  </si>
  <si>
    <t>Station wise ARR &amp; Average Tariff approved by OERC for Current Year-2014-15</t>
  </si>
  <si>
    <t>Mar'16</t>
  </si>
  <si>
    <t>Feb'16</t>
  </si>
  <si>
    <t>Jan'16</t>
  </si>
  <si>
    <t>Dec'15</t>
  </si>
  <si>
    <t>Nov'15</t>
  </si>
  <si>
    <t>Oct'15</t>
  </si>
  <si>
    <t>Sep'15</t>
  </si>
  <si>
    <t>Aug'15</t>
  </si>
  <si>
    <t>July'15</t>
  </si>
  <si>
    <t>Jun'15</t>
  </si>
  <si>
    <t>May'15</t>
  </si>
  <si>
    <t>Apr'15</t>
  </si>
  <si>
    <t>GKEL</t>
  </si>
  <si>
    <t>Other Sales</t>
  </si>
  <si>
    <t>PERIOD -  2013-14(Actual)</t>
  </si>
  <si>
    <t>PERIOD - 2014-15( ACTUAL+PROJECTION)</t>
  </si>
  <si>
    <t>PERIOD -  2015-16( PROJECTION)</t>
  </si>
  <si>
    <t xml:space="preserve">CGPs </t>
  </si>
  <si>
    <t xml:space="preserve"> Co-gen</t>
  </si>
  <si>
    <t>SLDC (UI)</t>
  </si>
  <si>
    <t>UI( EREB)</t>
  </si>
  <si>
    <t>UI(EREB)</t>
  </si>
  <si>
    <t>Others</t>
  </si>
  <si>
    <t>Barh STPS I &amp; II</t>
  </si>
  <si>
    <t>M/s. JITPL</t>
  </si>
  <si>
    <t>M/s. NBVL.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</si>
</sst>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%"/>
    <numFmt numFmtId="179" formatCode="_-* #,##0.00_-;\-* #,##0.00_-;_-* &quot;-&quot;??_-;_-@_-"/>
    <numFmt numFmtId="180" formatCode="0.00_)"/>
    <numFmt numFmtId="181" formatCode="0.0_)"/>
    <numFmt numFmtId="182" formatCode="0_)"/>
    <numFmt numFmtId="183" formatCode="_(* #,##0_);_(* \(#,##0\);_(* &quot;-&quot;??_);_(@_)"/>
    <numFmt numFmtId="184" formatCode="[$-409]mmm\-yy;@"/>
    <numFmt numFmtId="185" formatCode="_(* #,##0.000_);_(* \(#,##0.000\);_(* &quot;-&quot;??_);_(@_)"/>
    <numFmt numFmtId="186" formatCode="_(&quot; &quot;* #,##0.00_);_(&quot; &quot;* \(#,##0.00\);_(&quot; &quot;* &quot;-&quot;??_);_(@_)"/>
    <numFmt numFmtId="187" formatCode="#,##0.000000000;[Red]\-#,##0.000000000"/>
    <numFmt numFmtId="188" formatCode="&quot;ß&quot;#,##0.00_);\(&quot;ß&quot;#,##0.00\)"/>
    <numFmt numFmtId="189" formatCode="0.000"/>
    <numFmt numFmtId="190" formatCode="0_);\(0\)"/>
    <numFmt numFmtId="191" formatCode="0.00_);\(0.00\)"/>
    <numFmt numFmtId="192" formatCode="[$-409]dddd\,\ mmmm\ dd\,\ yyyy"/>
    <numFmt numFmtId="193" formatCode="mmm"/>
    <numFmt numFmtId="194" formatCode="mmm\-yyyy"/>
    <numFmt numFmtId="195" formatCode="mmmm"/>
    <numFmt numFmtId="196" formatCode="_(* #,##0.0_);_(* \(#,##0.0\);_(* &quot;-&quot;??_);_(@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  <numFmt numFmtId="202" formatCode="_(&quot; &quot;* #,##0_);_(&quot; &quot;* \(#,##0\);_(&quot; &quot;* &quot;-&quot;??_);_(@_)"/>
    <numFmt numFmtId="203" formatCode="0.00;[Red]0.00"/>
    <numFmt numFmtId="204" formatCode="0.000000"/>
    <numFmt numFmtId="205" formatCode="0.0000000"/>
    <numFmt numFmtId="206" formatCode="0.00000000"/>
    <numFmt numFmtId="207" formatCode="0.00000"/>
    <numFmt numFmtId="208" formatCode="0.0000"/>
    <numFmt numFmtId="209" formatCode="_ * #,##0.000_ ;_ * \-#,##0.000_ ;_ * &quot;-&quot;???_ ;_ @_ "/>
    <numFmt numFmtId="210" formatCode="_(* #,##0.0000_);_(* \(#,##0.0000\);_(* &quot;-&quot;??_);_(@_)"/>
    <numFmt numFmtId="211" formatCode="_(* #,##0.00000_);_(* \(#,##0.00000\);_(* &quot;-&quot;??_);_(@_)"/>
    <numFmt numFmtId="212" formatCode="_(* #,##0.000000_);_(* \(#,##0.000000\);_(* &quot;-&quot;??_);_(@_)"/>
    <numFmt numFmtId="213" formatCode="_(* #,##0.0000000_);_(* \(#,##0.0000000\);_(* &quot;-&quot;??_);_(@_)"/>
    <numFmt numFmtId="214" formatCode="_(* #,##0.00000000_);_(* \(#,##0.00000000\);_(* &quot;-&quot;??_);_(@_)"/>
    <numFmt numFmtId="215" formatCode="&quot; &quot;#,##0_);[Red]\(&quot; &quot;#,##0\)"/>
    <numFmt numFmtId="216" formatCode="&quot;Rs.&quot;\ #,##0.00_);\(&quot;Rs.&quot;\ #,##0.00\)"/>
    <numFmt numFmtId="217" formatCode="_(&quot;Rs.&quot;\ * #,##0.00_);_(&quot;Rs.&quot;\ * \(#,##0.00\);_(&quot;Rs.&quot;\ * &quot;-&quot;??_);_(@_)"/>
  </numFmts>
  <fonts count="92">
    <font>
      <sz val="10"/>
      <name val="Arial"/>
      <family val="0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0"/>
      <color indexed="8"/>
      <name val="Arial"/>
      <family val="2"/>
    </font>
    <font>
      <u val="single"/>
      <sz val="12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1"/>
      <name val="Book Antiqua"/>
      <family val="1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60"/>
      <name val="Arial"/>
      <family val="2"/>
    </font>
    <font>
      <b/>
      <sz val="12"/>
      <color indexed="16"/>
      <name val="Arial"/>
      <family val="2"/>
    </font>
    <font>
      <sz val="14"/>
      <color indexed="10"/>
      <name val="Arial"/>
      <family val="2"/>
    </font>
    <font>
      <sz val="16"/>
      <name val="Arial"/>
      <family val="2"/>
    </font>
    <font>
      <sz val="12"/>
      <color indexed="16"/>
      <name val="Arial"/>
      <family val="2"/>
    </font>
    <font>
      <u val="single"/>
      <sz val="16"/>
      <name val="Arial"/>
      <family val="2"/>
    </font>
    <font>
      <b/>
      <i/>
      <sz val="14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u val="single"/>
      <sz val="16"/>
      <color indexed="8"/>
      <name val="Arial"/>
      <family val="2"/>
    </font>
    <font>
      <sz val="16"/>
      <color indexed="12"/>
      <name val="Arial"/>
      <family val="2"/>
    </font>
    <font>
      <sz val="16"/>
      <color indexed="16"/>
      <name val="Arial"/>
      <family val="2"/>
    </font>
    <font>
      <sz val="16"/>
      <color indexed="60"/>
      <name val="Arial"/>
      <family val="2"/>
    </font>
    <font>
      <sz val="16"/>
      <color indexed="10"/>
      <name val="Arial"/>
      <family val="2"/>
    </font>
    <font>
      <b/>
      <sz val="16"/>
      <color indexed="16"/>
      <name val="Arial"/>
      <family val="2"/>
    </font>
    <font>
      <b/>
      <u val="single"/>
      <sz val="16"/>
      <name val="Arial"/>
      <family val="2"/>
    </font>
    <font>
      <b/>
      <sz val="16"/>
      <color indexed="12"/>
      <name val="Arial"/>
      <family val="2"/>
    </font>
    <font>
      <b/>
      <sz val="12"/>
      <color indexed="12"/>
      <name val="Arial"/>
      <family val="2"/>
    </font>
    <font>
      <b/>
      <u val="single"/>
      <sz val="14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b/>
      <u val="single"/>
      <sz val="24"/>
      <color indexed="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5" fontId="18" fillId="0" borderId="0" applyFont="0" applyFill="0" applyBorder="0" applyAlignment="0">
      <protection/>
    </xf>
    <xf numFmtId="0" fontId="7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646">
    <xf numFmtId="0" fontId="0" fillId="0" borderId="0" xfId="0" applyAlignment="1">
      <alignment/>
    </xf>
    <xf numFmtId="0" fontId="0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 horizontal="left" vertical="top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6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3" fontId="4" fillId="0" borderId="0" xfId="42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6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>
      <alignment vertical="center"/>
    </xf>
    <xf numFmtId="43" fontId="10" fillId="0" borderId="0" xfId="42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43" fontId="9" fillId="0" borderId="0" xfId="42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43" fontId="0" fillId="0" borderId="0" xfId="42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3" fontId="6" fillId="0" borderId="0" xfId="42" applyFont="1" applyBorder="1" applyAlignment="1">
      <alignment vertical="center"/>
    </xf>
    <xf numFmtId="0" fontId="0" fillId="0" borderId="0" xfId="0" applyBorder="1" applyAlignment="1">
      <alignment vertical="center"/>
    </xf>
    <xf numFmtId="17" fontId="6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49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 wrapText="1"/>
    </xf>
    <xf numFmtId="49" fontId="0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right" vertical="top" wrapText="1"/>
    </xf>
    <xf numFmtId="0" fontId="7" fillId="0" borderId="0" xfId="0" applyNumberFormat="1" applyFont="1" applyFill="1" applyAlignment="1">
      <alignment wrapText="1"/>
    </xf>
    <xf numFmtId="0" fontId="6" fillId="0" borderId="0" xfId="0" applyFont="1" applyAlignment="1">
      <alignment horizontal="left" vertical="top"/>
    </xf>
    <xf numFmtId="0" fontId="7" fillId="0" borderId="0" xfId="0" applyNumberFormat="1" applyFont="1" applyFill="1" applyAlignment="1">
      <alignment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43" fontId="0" fillId="0" borderId="0" xfId="42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8" fillId="0" borderId="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Continuous" vertical="center"/>
    </xf>
    <xf numFmtId="0" fontId="2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NumberFormat="1" applyFont="1" applyFill="1" applyAlignment="1">
      <alignment vertical="center" wrapText="1"/>
    </xf>
    <xf numFmtId="0" fontId="0" fillId="0" borderId="0" xfId="0" applyFont="1" applyAlignment="1">
      <alignment horizontal="center" vertical="center"/>
    </xf>
    <xf numFmtId="49" fontId="0" fillId="33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Continuous" vertical="center"/>
    </xf>
    <xf numFmtId="0" fontId="13" fillId="33" borderId="0" xfId="0" applyFont="1" applyFill="1" applyAlignment="1">
      <alignment horizontal="centerContinuous" vertical="center"/>
    </xf>
    <xf numFmtId="43" fontId="13" fillId="0" borderId="0" xfId="42" applyFont="1" applyAlignment="1">
      <alignment vertical="center"/>
    </xf>
    <xf numFmtId="0" fontId="13" fillId="33" borderId="0" xfId="0" applyFont="1" applyFill="1" applyAlignment="1">
      <alignment vertical="center"/>
    </xf>
    <xf numFmtId="0" fontId="22" fillId="0" borderId="0" xfId="0" applyNumberFormat="1" applyFont="1" applyFill="1" applyBorder="1" applyAlignment="1">
      <alignment horizontal="left" vertical="center"/>
    </xf>
    <xf numFmtId="49" fontId="13" fillId="0" borderId="0" xfId="0" applyNumberFormat="1" applyFont="1" applyAlignment="1">
      <alignment horizontal="right" vertical="center"/>
    </xf>
    <xf numFmtId="49" fontId="13" fillId="33" borderId="0" xfId="0" applyNumberFormat="1" applyFont="1" applyFill="1" applyAlignment="1">
      <alignment horizontal="right" vertical="center"/>
    </xf>
    <xf numFmtId="16" fontId="13" fillId="0" borderId="0" xfId="42" applyNumberFormat="1" applyFont="1" applyAlignment="1">
      <alignment horizontal="center" vertical="center"/>
    </xf>
    <xf numFmtId="43" fontId="13" fillId="0" borderId="0" xfId="42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49" fontId="13" fillId="0" borderId="0" xfId="0" applyNumberFormat="1" applyFont="1" applyAlignment="1">
      <alignment vertical="center"/>
    </xf>
    <xf numFmtId="49" fontId="13" fillId="33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22" fillId="0" borderId="0" xfId="0" applyNumberFormat="1" applyFont="1" applyFill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43" fontId="20" fillId="0" borderId="0" xfId="42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49" fontId="0" fillId="0" borderId="0" xfId="0" applyNumberFormat="1" applyFont="1" applyAlignment="1">
      <alignment horizontal="right" vertical="center" wrapText="1"/>
    </xf>
    <xf numFmtId="49" fontId="0" fillId="33" borderId="0" xfId="0" applyNumberFormat="1" applyFont="1" applyFill="1" applyAlignment="1">
      <alignment horizontal="right" vertical="center" wrapText="1"/>
    </xf>
    <xf numFmtId="0" fontId="23" fillId="0" borderId="0" xfId="0" applyFont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NumberFormat="1" applyFont="1" applyFill="1" applyBorder="1" applyAlignment="1">
      <alignment horizontal="left" vertical="center"/>
    </xf>
    <xf numFmtId="49" fontId="25" fillId="0" borderId="0" xfId="0" applyNumberFormat="1" applyFont="1" applyAlignment="1">
      <alignment horizontal="right" vertical="center"/>
    </xf>
    <xf numFmtId="49" fontId="25" fillId="33" borderId="0" xfId="0" applyNumberFormat="1" applyFont="1" applyFill="1" applyAlignment="1">
      <alignment horizontal="right" vertical="center"/>
    </xf>
    <xf numFmtId="0" fontId="25" fillId="0" borderId="0" xfId="0" applyFont="1" applyAlignment="1">
      <alignment vertical="center"/>
    </xf>
    <xf numFmtId="43" fontId="24" fillId="0" borderId="0" xfId="42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3" fontId="13" fillId="0" borderId="10" xfId="48" applyNumberFormat="1" applyFont="1" applyBorder="1" applyAlignment="1">
      <alignment vertical="center" wrapText="1"/>
    </xf>
    <xf numFmtId="43" fontId="1" fillId="0" borderId="10" xfId="48" applyNumberFormat="1" applyFont="1" applyFill="1" applyBorder="1" applyAlignment="1">
      <alignment vertical="center" wrapText="1"/>
    </xf>
    <xf numFmtId="43" fontId="13" fillId="34" borderId="10" xfId="48" applyNumberFormat="1" applyFont="1" applyFill="1" applyBorder="1" applyAlignment="1">
      <alignment vertical="center" wrapText="1"/>
    </xf>
    <xf numFmtId="43" fontId="1" fillId="34" borderId="10" xfId="48" applyNumberFormat="1" applyFont="1" applyFill="1" applyBorder="1" applyAlignment="1">
      <alignment vertical="center" wrapText="1"/>
    </xf>
    <xf numFmtId="43" fontId="1" fillId="35" borderId="10" xfId="48" applyNumberFormat="1" applyFont="1" applyFill="1" applyBorder="1" applyAlignment="1">
      <alignment vertical="center" wrapText="1"/>
    </xf>
    <xf numFmtId="43" fontId="13" fillId="0" borderId="10" xfId="48" applyNumberFormat="1" applyFont="1" applyFill="1" applyBorder="1" applyAlignment="1">
      <alignment vertical="center" wrapText="1"/>
    </xf>
    <xf numFmtId="43" fontId="13" fillId="34" borderId="10" xfId="0" applyNumberFormat="1" applyFont="1" applyFill="1" applyBorder="1" applyAlignment="1">
      <alignment horizontal="right" vertical="center" wrapText="1"/>
    </xf>
    <xf numFmtId="17" fontId="6" fillId="0" borderId="10" xfId="0" applyNumberFormat="1" applyFont="1" applyFill="1" applyBorder="1" applyAlignment="1">
      <alignment vertical="center"/>
    </xf>
    <xf numFmtId="43" fontId="0" fillId="0" borderId="11" xfId="42" applyFont="1" applyBorder="1" applyAlignment="1">
      <alignment vertical="center"/>
    </xf>
    <xf numFmtId="0" fontId="0" fillId="0" borderId="10" xfId="0" applyBorder="1" applyAlignment="1">
      <alignment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vertical="center"/>
    </xf>
    <xf numFmtId="49" fontId="13" fillId="34" borderId="10" xfId="0" applyNumberFormat="1" applyFont="1" applyFill="1" applyBorder="1" applyAlignment="1">
      <alignment horizontal="righ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right" vertical="center" wrapText="1"/>
    </xf>
    <xf numFmtId="43" fontId="27" fillId="0" borderId="10" xfId="48" applyNumberFormat="1" applyFont="1" applyFill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right" vertical="center" wrapText="1"/>
    </xf>
    <xf numFmtId="0" fontId="1" fillId="34" borderId="0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3" fillId="34" borderId="11" xfId="0" applyFont="1" applyFill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13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horizontal="left" vertical="center"/>
    </xf>
    <xf numFmtId="0" fontId="9" fillId="0" borderId="10" xfId="0" applyNumberFormat="1" applyFont="1" applyFill="1" applyBorder="1" applyAlignment="1">
      <alignment horizontal="left" vertical="center"/>
    </xf>
    <xf numFmtId="43" fontId="1" fillId="0" borderId="10" xfId="48" applyNumberFormat="1" applyFont="1" applyFill="1" applyBorder="1" applyAlignment="1">
      <alignment horizontal="right" vertical="center" wrapText="1"/>
    </xf>
    <xf numFmtId="0" fontId="0" fillId="0" borderId="0" xfId="66">
      <alignment/>
      <protection/>
    </xf>
    <xf numFmtId="17" fontId="6" fillId="34" borderId="10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horizontal="right" vertical="center" wrapText="1"/>
    </xf>
    <xf numFmtId="43" fontId="1" fillId="34" borderId="10" xfId="48" applyNumberFormat="1" applyFont="1" applyFill="1" applyBorder="1" applyAlignment="1">
      <alignment horizontal="right" vertical="center" wrapText="1"/>
    </xf>
    <xf numFmtId="43" fontId="0" fillId="0" borderId="10" xfId="44" applyFont="1" applyFill="1" applyBorder="1" applyAlignment="1">
      <alignment horizontal="center" vertical="center"/>
    </xf>
    <xf numFmtId="43" fontId="13" fillId="34" borderId="0" xfId="48" applyNumberFormat="1" applyFont="1" applyFill="1" applyBorder="1" applyAlignment="1">
      <alignment vertical="center" wrapText="1"/>
    </xf>
    <xf numFmtId="43" fontId="13" fillId="34" borderId="10" xfId="48" applyNumberFormat="1" applyFont="1" applyFill="1" applyBorder="1" applyAlignment="1">
      <alignment horizontal="right" vertical="center" wrapText="1"/>
    </xf>
    <xf numFmtId="17" fontId="6" fillId="34" borderId="0" xfId="0" applyNumberFormat="1" applyFont="1" applyFill="1" applyBorder="1" applyAlignment="1">
      <alignment horizontal="right" vertical="center"/>
    </xf>
    <xf numFmtId="43" fontId="22" fillId="34" borderId="10" xfId="48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43" fontId="13" fillId="0" borderId="10" xfId="48" applyNumberFormat="1" applyFont="1" applyBorder="1" applyAlignment="1">
      <alignment horizontal="right" vertical="center" wrapText="1"/>
    </xf>
    <xf numFmtId="17" fontId="6" fillId="34" borderId="10" xfId="0" applyNumberFormat="1" applyFont="1" applyFill="1" applyBorder="1" applyAlignment="1">
      <alignment horizontal="right" vertical="center"/>
    </xf>
    <xf numFmtId="43" fontId="13" fillId="0" borderId="15" xfId="48" applyNumberFormat="1" applyFont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right" vertical="center"/>
    </xf>
    <xf numFmtId="43" fontId="1" fillId="34" borderId="15" xfId="48" applyNumberFormat="1" applyFont="1" applyFill="1" applyBorder="1" applyAlignment="1">
      <alignment horizontal="right" vertical="center" wrapText="1"/>
    </xf>
    <xf numFmtId="43" fontId="1" fillId="0" borderId="11" xfId="48" applyNumberFormat="1" applyFont="1" applyFill="1" applyBorder="1" applyAlignment="1">
      <alignment horizontal="right" vertical="center" wrapText="1"/>
    </xf>
    <xf numFmtId="43" fontId="13" fillId="34" borderId="11" xfId="48" applyNumberFormat="1" applyFont="1" applyFill="1" applyBorder="1" applyAlignment="1">
      <alignment horizontal="right" vertical="center" wrapText="1"/>
    </xf>
    <xf numFmtId="17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43" fontId="13" fillId="34" borderId="15" xfId="48" applyNumberFormat="1" applyFont="1" applyFill="1" applyBorder="1" applyAlignment="1">
      <alignment horizontal="right" vertical="center" wrapText="1"/>
    </xf>
    <xf numFmtId="43" fontId="1" fillId="0" borderId="10" xfId="44" applyNumberFormat="1" applyFont="1" applyFill="1" applyBorder="1" applyAlignment="1">
      <alignment vertical="center"/>
    </xf>
    <xf numFmtId="0" fontId="87" fillId="0" borderId="14" xfId="0" applyFont="1" applyBorder="1" applyAlignment="1">
      <alignment vertical="center" wrapText="1"/>
    </xf>
    <xf numFmtId="2" fontId="1" fillId="0" borderId="10" xfId="0" applyNumberFormat="1" applyFont="1" applyFill="1" applyBorder="1" applyAlignment="1">
      <alignment vertical="center" wrapText="1"/>
    </xf>
    <xf numFmtId="43" fontId="88" fillId="34" borderId="10" xfId="48" applyNumberFormat="1" applyFont="1" applyFill="1" applyBorder="1" applyAlignment="1">
      <alignment vertical="center" wrapText="1"/>
    </xf>
    <xf numFmtId="171" fontId="0" fillId="0" borderId="0" xfId="0" applyNumberFormat="1" applyFill="1" applyAlignment="1">
      <alignment vertical="center"/>
    </xf>
    <xf numFmtId="43" fontId="0" fillId="0" borderId="10" xfId="42" applyFont="1" applyBorder="1" applyAlignment="1">
      <alignment vertical="center"/>
    </xf>
    <xf numFmtId="171" fontId="0" fillId="0" borderId="0" xfId="0" applyNumberFormat="1" applyAlignment="1">
      <alignment vertical="center"/>
    </xf>
    <xf numFmtId="43" fontId="1" fillId="34" borderId="11" xfId="48" applyNumberFormat="1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 horizontal="right" vertical="center"/>
    </xf>
    <xf numFmtId="43" fontId="1" fillId="34" borderId="16" xfId="48" applyNumberFormat="1" applyFont="1" applyFill="1" applyBorder="1" applyAlignment="1">
      <alignment horizontal="right" vertical="center" wrapText="1"/>
    </xf>
    <xf numFmtId="0" fontId="1" fillId="34" borderId="11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43" fontId="13" fillId="0" borderId="11" xfId="48" applyNumberFormat="1" applyFont="1" applyFill="1" applyBorder="1" applyAlignment="1">
      <alignment vertical="center" wrapText="1"/>
    </xf>
    <xf numFmtId="43" fontId="13" fillId="34" borderId="11" xfId="48" applyNumberFormat="1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vertical="center"/>
    </xf>
    <xf numFmtId="43" fontId="1" fillId="0" borderId="11" xfId="48" applyNumberFormat="1" applyFont="1" applyFill="1" applyBorder="1" applyAlignment="1">
      <alignment vertical="center" wrapText="1"/>
    </xf>
    <xf numFmtId="0" fontId="31" fillId="0" borderId="10" xfId="66" applyFont="1" applyFill="1" applyBorder="1" applyAlignment="1">
      <alignment vertical="center"/>
      <protection/>
    </xf>
    <xf numFmtId="0" fontId="0" fillId="0" borderId="10" xfId="66" applyFont="1" applyBorder="1" applyAlignment="1">
      <alignment vertical="center"/>
      <protection/>
    </xf>
    <xf numFmtId="0" fontId="13" fillId="0" borderId="12" xfId="66" applyFont="1" applyFill="1" applyBorder="1" applyAlignment="1">
      <alignment horizontal="center" vertical="center" wrapText="1"/>
      <protection/>
    </xf>
    <xf numFmtId="0" fontId="13" fillId="0" borderId="10" xfId="66" applyFont="1" applyFill="1" applyBorder="1" applyAlignment="1">
      <alignment horizontal="center" vertical="center" wrapText="1"/>
      <protection/>
    </xf>
    <xf numFmtId="0" fontId="13" fillId="0" borderId="0" xfId="66" applyNumberFormat="1" applyFont="1" applyFill="1" applyBorder="1" applyAlignment="1">
      <alignment horizontal="left" vertical="center"/>
      <protection/>
    </xf>
    <xf numFmtId="0" fontId="0" fillId="0" borderId="0" xfId="66" applyFont="1" applyAlignment="1">
      <alignment vertical="center"/>
      <protection/>
    </xf>
    <xf numFmtId="0" fontId="28" fillId="0" borderId="10" xfId="66" applyFont="1" applyFill="1" applyBorder="1" applyAlignment="1">
      <alignment vertical="center"/>
      <protection/>
    </xf>
    <xf numFmtId="0" fontId="32" fillId="0" borderId="10" xfId="66" applyNumberFormat="1" applyFont="1" applyFill="1" applyBorder="1" applyAlignment="1">
      <alignment horizontal="left" vertical="center"/>
      <protection/>
    </xf>
    <xf numFmtId="0" fontId="30" fillId="0" borderId="10" xfId="66" applyNumberFormat="1" applyFont="1" applyFill="1" applyBorder="1" applyAlignment="1">
      <alignment vertical="center"/>
      <protection/>
    </xf>
    <xf numFmtId="43" fontId="22" fillId="34" borderId="10" xfId="48" applyNumberFormat="1" applyFont="1" applyFill="1" applyBorder="1" applyAlignment="1">
      <alignment vertical="center" wrapText="1"/>
    </xf>
    <xf numFmtId="43" fontId="13" fillId="0" borderId="10" xfId="0" applyNumberFormat="1" applyFont="1" applyBorder="1" applyAlignment="1">
      <alignment vertical="center" wrapText="1"/>
    </xf>
    <xf numFmtId="43" fontId="1" fillId="0" borderId="10" xfId="0" applyNumberFormat="1" applyFont="1" applyBorder="1" applyAlignment="1">
      <alignment vertical="center" wrapText="1"/>
    </xf>
    <xf numFmtId="43" fontId="1" fillId="34" borderId="0" xfId="48" applyNumberFormat="1" applyFont="1" applyFill="1" applyBorder="1" applyAlignment="1">
      <alignment vertical="center" wrapText="1"/>
    </xf>
    <xf numFmtId="0" fontId="0" fillId="34" borderId="14" xfId="0" applyFill="1" applyBorder="1" applyAlignment="1">
      <alignment vertical="center"/>
    </xf>
    <xf numFmtId="0" fontId="0" fillId="0" borderId="0" xfId="66" applyAlignment="1">
      <alignment vertical="center"/>
      <protection/>
    </xf>
    <xf numFmtId="0" fontId="0" fillId="0" borderId="0" xfId="66" applyBorder="1" applyAlignment="1">
      <alignment vertical="center"/>
      <protection/>
    </xf>
    <xf numFmtId="43" fontId="6" fillId="36" borderId="0" xfId="44" applyFont="1" applyFill="1" applyBorder="1" applyAlignment="1">
      <alignment horizontal="center" vertical="center"/>
    </xf>
    <xf numFmtId="43" fontId="0" fillId="36" borderId="0" xfId="44" applyFont="1" applyFill="1" applyBorder="1" applyAlignment="1">
      <alignment horizontal="center" vertical="center"/>
    </xf>
    <xf numFmtId="43" fontId="11" fillId="36" borderId="0" xfId="44" applyFont="1" applyFill="1" applyBorder="1" applyAlignment="1">
      <alignment vertical="center"/>
    </xf>
    <xf numFmtId="10" fontId="6" fillId="36" borderId="0" xfId="77" applyNumberFormat="1" applyFont="1" applyFill="1" applyBorder="1" applyAlignment="1">
      <alignment horizontal="center" vertical="center"/>
    </xf>
    <xf numFmtId="43" fontId="6" fillId="36" borderId="0" xfId="44" applyFont="1" applyFill="1" applyBorder="1" applyAlignment="1">
      <alignment vertical="center"/>
    </xf>
    <xf numFmtId="43" fontId="6" fillId="0" borderId="10" xfId="44" applyFont="1" applyFill="1" applyBorder="1" applyAlignment="1">
      <alignment horizontal="center" vertical="center"/>
    </xf>
    <xf numFmtId="43" fontId="6" fillId="36" borderId="10" xfId="44" applyFont="1" applyFill="1" applyBorder="1" applyAlignment="1">
      <alignment horizontal="center" vertical="center"/>
    </xf>
    <xf numFmtId="0" fontId="0" fillId="0" borderId="10" xfId="66" applyBorder="1" applyAlignment="1">
      <alignment vertical="center"/>
      <protection/>
    </xf>
    <xf numFmtId="43" fontId="6" fillId="36" borderId="10" xfId="44" applyFont="1" applyFill="1" applyBorder="1" applyAlignment="1">
      <alignment vertical="center" wrapText="1"/>
    </xf>
    <xf numFmtId="0" fontId="6" fillId="0" borderId="10" xfId="66" applyFont="1" applyBorder="1" applyAlignment="1">
      <alignment horizontal="center" vertical="center"/>
      <protection/>
    </xf>
    <xf numFmtId="43" fontId="6" fillId="36" borderId="10" xfId="44" applyFont="1" applyFill="1" applyBorder="1" applyAlignment="1">
      <alignment vertical="center"/>
    </xf>
    <xf numFmtId="49" fontId="0" fillId="0" borderId="0" xfId="66" applyNumberFormat="1" applyAlignment="1">
      <alignment vertical="center"/>
      <protection/>
    </xf>
    <xf numFmtId="0" fontId="6" fillId="0" borderId="10" xfId="66" applyFont="1" applyBorder="1" applyAlignment="1">
      <alignment vertical="center"/>
      <protection/>
    </xf>
    <xf numFmtId="49" fontId="0" fillId="0" borderId="10" xfId="66" applyNumberFormat="1" applyBorder="1" applyAlignment="1">
      <alignment vertical="center"/>
      <protection/>
    </xf>
    <xf numFmtId="0" fontId="6" fillId="0" borderId="10" xfId="66" applyFont="1" applyBorder="1" applyAlignment="1">
      <alignment horizontal="center" vertical="center" wrapText="1"/>
      <protection/>
    </xf>
    <xf numFmtId="0" fontId="6" fillId="0" borderId="0" xfId="66" applyFont="1" applyAlignment="1">
      <alignment vertical="center"/>
      <protection/>
    </xf>
    <xf numFmtId="49" fontId="6" fillId="0" borderId="10" xfId="66" applyNumberFormat="1" applyFont="1" applyBorder="1" applyAlignment="1">
      <alignment vertical="center"/>
      <protection/>
    </xf>
    <xf numFmtId="49" fontId="0" fillId="0" borderId="10" xfId="66" applyNumberFormat="1" applyFont="1" applyBorder="1" applyAlignment="1">
      <alignment horizontal="right" vertical="center"/>
      <protection/>
    </xf>
    <xf numFmtId="0" fontId="0" fillId="0" borderId="0" xfId="66" applyAlignment="1">
      <alignment horizontal="center" vertical="center"/>
      <protection/>
    </xf>
    <xf numFmtId="0" fontId="6" fillId="0" borderId="0" xfId="66" applyFont="1" applyBorder="1" applyAlignment="1">
      <alignment vertical="center"/>
      <protection/>
    </xf>
    <xf numFmtId="0" fontId="6" fillId="0" borderId="0" xfId="66" applyNumberFormat="1" applyFont="1" applyFill="1" applyBorder="1" applyAlignment="1">
      <alignment horizontal="left" vertical="center"/>
      <protection/>
    </xf>
    <xf numFmtId="0" fontId="4" fillId="0" borderId="0" xfId="66" applyNumberFormat="1" applyFont="1" applyFill="1" applyBorder="1" applyAlignment="1">
      <alignment horizontal="left" vertical="center"/>
      <protection/>
    </xf>
    <xf numFmtId="0" fontId="9" fillId="0" borderId="0" xfId="66" applyNumberFormat="1" applyFont="1" applyFill="1" applyBorder="1" applyAlignment="1">
      <alignment horizontal="left" vertical="center"/>
      <protection/>
    </xf>
    <xf numFmtId="0" fontId="4" fillId="0" borderId="0" xfId="66" applyNumberFormat="1" applyFont="1" applyFill="1" applyBorder="1" applyAlignment="1">
      <alignment horizontal="centerContinuous" vertical="center"/>
      <protection/>
    </xf>
    <xf numFmtId="0" fontId="1" fillId="0" borderId="0" xfId="66" applyFont="1" applyAlignment="1">
      <alignment horizontal="left" vertical="center"/>
      <protection/>
    </xf>
    <xf numFmtId="0" fontId="9" fillId="0" borderId="0" xfId="66" applyNumberFormat="1" applyFont="1" applyFill="1" applyAlignment="1">
      <alignment vertical="center"/>
      <protection/>
    </xf>
    <xf numFmtId="0" fontId="6" fillId="0" borderId="0" xfId="66" applyNumberFormat="1" applyFont="1" applyFill="1" applyAlignment="1">
      <alignment horizontal="right" vertical="center"/>
      <protection/>
    </xf>
    <xf numFmtId="0" fontId="4" fillId="0" borderId="0" xfId="66" applyNumberFormat="1" applyFont="1" applyFill="1" applyAlignment="1">
      <alignment vertical="center"/>
      <protection/>
    </xf>
    <xf numFmtId="0" fontId="20" fillId="0" borderId="0" xfId="66" applyFont="1" applyAlignment="1">
      <alignment vertical="center"/>
      <protection/>
    </xf>
    <xf numFmtId="43" fontId="0" fillId="0" borderId="10" xfId="66" applyNumberFormat="1" applyBorder="1" applyAlignment="1">
      <alignment vertical="center"/>
      <protection/>
    </xf>
    <xf numFmtId="2" fontId="0" fillId="0" borderId="0" xfId="66" applyNumberFormat="1" applyAlignment="1">
      <alignment vertical="center"/>
      <protection/>
    </xf>
    <xf numFmtId="2" fontId="0" fillId="0" borderId="10" xfId="66" applyNumberFormat="1" applyBorder="1" applyAlignment="1">
      <alignment vertical="center"/>
      <protection/>
    </xf>
    <xf numFmtId="43" fontId="6" fillId="0" borderId="0" xfId="44" applyFont="1" applyFill="1" applyBorder="1" applyAlignment="1">
      <alignment horizontal="right" vertical="center" wrapText="1"/>
    </xf>
    <xf numFmtId="43" fontId="6" fillId="0" borderId="0" xfId="44" applyFont="1" applyFill="1" applyBorder="1" applyAlignment="1">
      <alignment horizontal="center" vertical="center"/>
    </xf>
    <xf numFmtId="184" fontId="6" fillId="0" borderId="0" xfId="44" applyNumberFormat="1" applyFont="1" applyFill="1" applyBorder="1" applyAlignment="1">
      <alignment vertical="center" wrapText="1"/>
    </xf>
    <xf numFmtId="43" fontId="0" fillId="0" borderId="0" xfId="44" applyFont="1" applyFill="1" applyBorder="1" applyAlignment="1">
      <alignment horizontal="right" vertical="center" wrapText="1"/>
    </xf>
    <xf numFmtId="43" fontId="0" fillId="0" borderId="0" xfId="44" applyFont="1" applyFill="1" applyBorder="1" applyAlignment="1">
      <alignment horizontal="right" vertical="center"/>
    </xf>
    <xf numFmtId="0" fontId="6" fillId="0" borderId="0" xfId="66" applyFont="1" applyFill="1" applyBorder="1" applyAlignment="1">
      <alignment vertical="center"/>
      <protection/>
    </xf>
    <xf numFmtId="0" fontId="11" fillId="36" borderId="0" xfId="66" applyFont="1" applyFill="1" applyBorder="1" applyAlignment="1">
      <alignment vertical="center"/>
      <protection/>
    </xf>
    <xf numFmtId="204" fontId="0" fillId="0" borderId="10" xfId="66" applyNumberFormat="1" applyBorder="1" applyAlignment="1">
      <alignment vertical="center"/>
      <protection/>
    </xf>
    <xf numFmtId="0" fontId="0" fillId="0" borderId="0" xfId="66" applyAlignment="1">
      <alignment vertical="center" wrapText="1"/>
      <protection/>
    </xf>
    <xf numFmtId="2" fontId="6" fillId="0" borderId="10" xfId="66" applyNumberFormat="1" applyFont="1" applyBorder="1" applyAlignment="1">
      <alignment vertical="center"/>
      <protection/>
    </xf>
    <xf numFmtId="43" fontId="0" fillId="0" borderId="0" xfId="44" applyFont="1" applyAlignment="1">
      <alignment vertical="center"/>
    </xf>
    <xf numFmtId="43" fontId="10" fillId="0" borderId="0" xfId="44" applyFont="1" applyFill="1" applyBorder="1" applyAlignment="1">
      <alignment horizontal="left" vertical="center"/>
    </xf>
    <xf numFmtId="0" fontId="13" fillId="0" borderId="0" xfId="66" applyFont="1" applyBorder="1" applyAlignment="1">
      <alignment vertical="center"/>
      <protection/>
    </xf>
    <xf numFmtId="2" fontId="12" fillId="0" borderId="10" xfId="66" applyNumberFormat="1" applyFont="1" applyBorder="1" applyAlignment="1">
      <alignment vertical="center"/>
      <protection/>
    </xf>
    <xf numFmtId="0" fontId="12" fillId="0" borderId="10" xfId="66" applyFont="1" applyBorder="1" applyAlignment="1">
      <alignment vertical="center"/>
      <protection/>
    </xf>
    <xf numFmtId="2" fontId="23" fillId="0" borderId="10" xfId="66" applyNumberFormat="1" applyFont="1" applyBorder="1" applyAlignment="1">
      <alignment vertical="center"/>
      <protection/>
    </xf>
    <xf numFmtId="0" fontId="23" fillId="0" borderId="10" xfId="66" applyFont="1" applyBorder="1" applyAlignment="1">
      <alignment vertical="center"/>
      <protection/>
    </xf>
    <xf numFmtId="0" fontId="1" fillId="0" borderId="10" xfId="66" applyFont="1" applyBorder="1" applyAlignment="1">
      <alignment horizontal="center" vertical="center"/>
      <protection/>
    </xf>
    <xf numFmtId="0" fontId="1" fillId="0" borderId="0" xfId="66" applyFont="1" applyBorder="1" applyAlignment="1">
      <alignment vertical="center"/>
      <protection/>
    </xf>
    <xf numFmtId="0" fontId="1" fillId="0" borderId="0" xfId="66" applyNumberFormat="1" applyFont="1" applyFill="1" applyBorder="1" applyAlignment="1">
      <alignment horizontal="left" vertical="center"/>
      <protection/>
    </xf>
    <xf numFmtId="0" fontId="8" fillId="0" borderId="0" xfId="66" applyNumberFormat="1" applyFont="1" applyFill="1" applyBorder="1" applyAlignment="1">
      <alignment vertical="center"/>
      <protection/>
    </xf>
    <xf numFmtId="0" fontId="1" fillId="0" borderId="0" xfId="66" applyNumberFormat="1" applyFont="1" applyFill="1" applyBorder="1" applyAlignment="1">
      <alignment horizontal="right" vertical="center"/>
      <protection/>
    </xf>
    <xf numFmtId="43" fontId="27" fillId="34" borderId="10" xfId="48" applyNumberFormat="1" applyFont="1" applyFill="1" applyBorder="1" applyAlignment="1">
      <alignment vertical="center" wrapText="1"/>
    </xf>
    <xf numFmtId="10" fontId="6" fillId="0" borderId="10" xfId="77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43" fontId="23" fillId="0" borderId="0" xfId="42" applyFont="1" applyFill="1" applyBorder="1" applyAlignment="1">
      <alignment vertical="center"/>
    </xf>
    <xf numFmtId="0" fontId="3" fillId="0" borderId="0" xfId="0" applyNumberFormat="1" applyFont="1" applyFill="1" applyAlignment="1">
      <alignment/>
    </xf>
    <xf numFmtId="43" fontId="17" fillId="0" borderId="10" xfId="44" applyNumberFormat="1" applyFont="1" applyFill="1" applyBorder="1" applyAlignment="1">
      <alignment horizontal="right" vertical="center"/>
    </xf>
    <xf numFmtId="2" fontId="21" fillId="0" borderId="10" xfId="0" applyNumberFormat="1" applyFont="1" applyBorder="1" applyAlignment="1">
      <alignment vertical="center"/>
    </xf>
    <xf numFmtId="2" fontId="20" fillId="0" borderId="10" xfId="0" applyNumberFormat="1" applyFont="1" applyBorder="1" applyAlignment="1">
      <alignment vertical="center"/>
    </xf>
    <xf numFmtId="43" fontId="0" fillId="36" borderId="10" xfId="44" applyFont="1" applyFill="1" applyBorder="1" applyAlignment="1">
      <alignment horizontal="center" vertical="center"/>
    </xf>
    <xf numFmtId="10" fontId="6" fillId="36" borderId="10" xfId="77" applyNumberFormat="1" applyFont="1" applyFill="1" applyBorder="1" applyAlignment="1">
      <alignment horizontal="center" vertical="center"/>
    </xf>
    <xf numFmtId="0" fontId="30" fillId="0" borderId="10" xfId="66" applyFont="1" applyFill="1" applyBorder="1" applyAlignment="1">
      <alignment vertical="center"/>
      <protection/>
    </xf>
    <xf numFmtId="0" fontId="30" fillId="0" borderId="10" xfId="66" applyNumberFormat="1" applyFont="1" applyFill="1" applyBorder="1" applyAlignment="1">
      <alignment horizontal="centerContinuous" vertical="center"/>
      <protection/>
    </xf>
    <xf numFmtId="0" fontId="30" fillId="0" borderId="10" xfId="66" applyFont="1" applyFill="1" applyBorder="1" applyAlignment="1">
      <alignment horizontal="right" vertical="center"/>
      <protection/>
    </xf>
    <xf numFmtId="0" fontId="30" fillId="0" borderId="0" xfId="66" applyFont="1">
      <alignment/>
      <protection/>
    </xf>
    <xf numFmtId="43" fontId="30" fillId="0" borderId="10" xfId="44" applyFont="1" applyFill="1" applyBorder="1" applyAlignment="1">
      <alignment horizontal="left" vertical="center"/>
    </xf>
    <xf numFmtId="0" fontId="17" fillId="0" borderId="0" xfId="66" applyNumberFormat="1" applyFont="1" applyFill="1" applyBorder="1" applyAlignment="1">
      <alignment horizontal="left" vertical="center"/>
      <protection/>
    </xf>
    <xf numFmtId="0" fontId="36" fillId="0" borderId="0" xfId="66" applyNumberFormat="1" applyFont="1" applyFill="1" applyBorder="1" applyAlignment="1">
      <alignment horizontal="left" vertical="center"/>
      <protection/>
    </xf>
    <xf numFmtId="0" fontId="30" fillId="0" borderId="0" xfId="66" applyFont="1" applyAlignment="1">
      <alignment vertical="center"/>
      <protection/>
    </xf>
    <xf numFmtId="0" fontId="30" fillId="0" borderId="10" xfId="66" applyNumberFormat="1" applyFont="1" applyFill="1" applyBorder="1" applyAlignment="1">
      <alignment horizontal="left" vertical="center"/>
      <protection/>
    </xf>
    <xf numFmtId="0" fontId="30" fillId="0" borderId="10" xfId="66" applyNumberFormat="1" applyFont="1" applyFill="1" applyBorder="1" applyAlignment="1">
      <alignment horizontal="center" vertical="center"/>
      <protection/>
    </xf>
    <xf numFmtId="43" fontId="30" fillId="0" borderId="10" xfId="44" applyFont="1" applyFill="1" applyBorder="1" applyAlignment="1">
      <alignment vertical="center"/>
    </xf>
    <xf numFmtId="0" fontId="30" fillId="0" borderId="10" xfId="66" applyNumberFormat="1" applyFont="1" applyFill="1" applyBorder="1" applyAlignment="1">
      <alignment horizontal="right" vertical="center"/>
      <protection/>
    </xf>
    <xf numFmtId="0" fontId="30" fillId="0" borderId="10" xfId="66" applyFont="1" applyFill="1" applyBorder="1" applyAlignment="1">
      <alignment horizontal="center" vertical="center"/>
      <protection/>
    </xf>
    <xf numFmtId="0" fontId="30" fillId="0" borderId="10" xfId="66" applyFont="1" applyBorder="1" applyAlignment="1">
      <alignment vertical="center"/>
      <protection/>
    </xf>
    <xf numFmtId="0" fontId="38" fillId="0" borderId="10" xfId="66" applyFont="1" applyFill="1" applyBorder="1" applyAlignment="1">
      <alignment vertical="center"/>
      <protection/>
    </xf>
    <xf numFmtId="43" fontId="30" fillId="0" borderId="10" xfId="44" applyFont="1" applyFill="1" applyBorder="1" applyAlignment="1">
      <alignment horizontal="center" vertical="center"/>
    </xf>
    <xf numFmtId="43" fontId="30" fillId="0" borderId="10" xfId="44" applyNumberFormat="1" applyFont="1" applyFill="1" applyBorder="1" applyAlignment="1">
      <alignment horizontal="right" vertical="center"/>
    </xf>
    <xf numFmtId="2" fontId="30" fillId="0" borderId="10" xfId="66" applyNumberFormat="1" applyFont="1" applyFill="1" applyBorder="1" applyAlignment="1">
      <alignment vertical="center"/>
      <protection/>
    </xf>
    <xf numFmtId="10" fontId="30" fillId="0" borderId="10" xfId="77" applyNumberFormat="1" applyFont="1" applyFill="1" applyBorder="1" applyAlignment="1">
      <alignment horizontal="right" vertical="center"/>
    </xf>
    <xf numFmtId="2" fontId="17" fillId="0" borderId="10" xfId="66" applyNumberFormat="1" applyFont="1" applyFill="1" applyBorder="1" applyAlignment="1">
      <alignment vertical="center"/>
      <protection/>
    </xf>
    <xf numFmtId="0" fontId="38" fillId="0" borderId="10" xfId="66" applyFont="1" applyFill="1" applyBorder="1" applyAlignment="1">
      <alignment vertical="center" wrapText="1"/>
      <protection/>
    </xf>
    <xf numFmtId="0" fontId="30" fillId="0" borderId="10" xfId="66" applyFont="1" applyBorder="1">
      <alignment/>
      <protection/>
    </xf>
    <xf numFmtId="0" fontId="30" fillId="0" borderId="10" xfId="77" applyNumberFormat="1" applyFont="1" applyFill="1" applyBorder="1" applyAlignment="1">
      <alignment horizontal="right" vertical="center"/>
    </xf>
    <xf numFmtId="0" fontId="30" fillId="0" borderId="0" xfId="66" applyFont="1" applyAlignment="1">
      <alignment horizontal="right"/>
      <protection/>
    </xf>
    <xf numFmtId="0" fontId="30" fillId="37" borderId="13" xfId="66" applyFont="1" applyFill="1" applyBorder="1" applyAlignment="1">
      <alignment vertical="center"/>
      <protection/>
    </xf>
    <xf numFmtId="0" fontId="38" fillId="0" borderId="10" xfId="66" applyFont="1" applyFill="1" applyBorder="1" applyAlignment="1">
      <alignment horizontal="center" vertical="center"/>
      <protection/>
    </xf>
    <xf numFmtId="2" fontId="30" fillId="0" borderId="10" xfId="66" applyNumberFormat="1" applyFont="1" applyFill="1" applyBorder="1" applyAlignment="1">
      <alignment horizontal="center" vertical="center"/>
      <protection/>
    </xf>
    <xf numFmtId="0" fontId="30" fillId="0" borderId="0" xfId="66" applyFont="1" applyAlignment="1">
      <alignment horizontal="center"/>
      <protection/>
    </xf>
    <xf numFmtId="43" fontId="30" fillId="0" borderId="10" xfId="44" applyNumberFormat="1" applyFont="1" applyBorder="1" applyAlignment="1">
      <alignment vertical="center"/>
    </xf>
    <xf numFmtId="0" fontId="39" fillId="0" borderId="10" xfId="66" applyNumberFormat="1" applyFont="1" applyFill="1" applyBorder="1" applyAlignment="1">
      <alignment horizontal="left" vertical="center"/>
      <protection/>
    </xf>
    <xf numFmtId="43" fontId="30" fillId="0" borderId="14" xfId="44" applyNumberFormat="1" applyFont="1" applyBorder="1" applyAlignment="1">
      <alignment vertical="center"/>
    </xf>
    <xf numFmtId="43" fontId="40" fillId="0" borderId="10" xfId="44" applyNumberFormat="1" applyFont="1" applyBorder="1" applyAlignment="1">
      <alignment vertical="center"/>
    </xf>
    <xf numFmtId="43" fontId="17" fillId="0" borderId="10" xfId="44" applyNumberFormat="1" applyFont="1" applyBorder="1" applyAlignment="1">
      <alignment vertical="center"/>
    </xf>
    <xf numFmtId="0" fontId="41" fillId="0" borderId="10" xfId="66" applyFont="1" applyFill="1" applyBorder="1" applyAlignment="1">
      <alignment vertical="center"/>
      <protection/>
    </xf>
    <xf numFmtId="0" fontId="34" fillId="0" borderId="10" xfId="66" applyNumberFormat="1" applyFont="1" applyFill="1" applyBorder="1" applyAlignment="1">
      <alignment horizontal="left" vertical="center" wrapText="1"/>
      <protection/>
    </xf>
    <xf numFmtId="43" fontId="39" fillId="0" borderId="10" xfId="44" applyFont="1" applyBorder="1" applyAlignment="1">
      <alignment horizontal="center" vertical="center"/>
    </xf>
    <xf numFmtId="43" fontId="17" fillId="0" borderId="10" xfId="44" applyFont="1" applyBorder="1" applyAlignment="1">
      <alignment horizontal="center" vertical="center"/>
    </xf>
    <xf numFmtId="43" fontId="30" fillId="0" borderId="10" xfId="44" applyFont="1" applyBorder="1" applyAlignment="1">
      <alignment horizontal="center" vertical="center"/>
    </xf>
    <xf numFmtId="43" fontId="17" fillId="0" borderId="14" xfId="44" applyNumberFormat="1" applyFont="1" applyBorder="1" applyAlignment="1">
      <alignment vertical="center"/>
    </xf>
    <xf numFmtId="0" fontId="41" fillId="0" borderId="10" xfId="66" applyFont="1" applyFill="1" applyBorder="1" applyAlignment="1">
      <alignment vertical="center" wrapText="1"/>
      <protection/>
    </xf>
    <xf numFmtId="43" fontId="30" fillId="0" borderId="0" xfId="66" applyNumberFormat="1" applyFont="1">
      <alignment/>
      <protection/>
    </xf>
    <xf numFmtId="0" fontId="17" fillId="0" borderId="10" xfId="66" applyNumberFormat="1" applyFont="1" applyFill="1" applyBorder="1" applyAlignment="1">
      <alignment vertical="center"/>
      <protection/>
    </xf>
    <xf numFmtId="43" fontId="17" fillId="0" borderId="10" xfId="44" applyFont="1" applyFill="1" applyBorder="1" applyAlignment="1">
      <alignment horizontal="left" vertical="center"/>
    </xf>
    <xf numFmtId="43" fontId="1" fillId="0" borderId="10" xfId="44" applyFont="1" applyFill="1" applyBorder="1" applyAlignment="1">
      <alignment horizontal="center" vertical="center" wrapText="1"/>
    </xf>
    <xf numFmtId="0" fontId="1" fillId="0" borderId="10" xfId="66" applyFont="1" applyBorder="1" applyAlignment="1">
      <alignment horizontal="center" vertical="center" wrapText="1"/>
      <protection/>
    </xf>
    <xf numFmtId="0" fontId="1" fillId="0" borderId="10" xfId="66" applyFont="1" applyFill="1" applyBorder="1" applyAlignment="1">
      <alignment horizontal="center" vertical="center" wrapText="1"/>
      <protection/>
    </xf>
    <xf numFmtId="43" fontId="1" fillId="0" borderId="10" xfId="44" applyFont="1" applyFill="1" applyBorder="1" applyAlignment="1">
      <alignment vertical="center"/>
    </xf>
    <xf numFmtId="43" fontId="1" fillId="0" borderId="10" xfId="44" applyFont="1" applyFill="1" applyBorder="1" applyAlignment="1">
      <alignment horizontal="center" vertical="center"/>
    </xf>
    <xf numFmtId="0" fontId="1" fillId="0" borderId="10" xfId="66" applyFont="1" applyFill="1" applyBorder="1" applyAlignment="1">
      <alignment horizontal="center" vertical="center"/>
      <protection/>
    </xf>
    <xf numFmtId="0" fontId="23" fillId="0" borderId="0" xfId="66" applyFont="1">
      <alignment/>
      <protection/>
    </xf>
    <xf numFmtId="0" fontId="44" fillId="0" borderId="0" xfId="66" applyNumberFormat="1" applyFont="1" applyFill="1" applyBorder="1" applyAlignment="1">
      <alignment horizontal="left" vertical="center"/>
      <protection/>
    </xf>
    <xf numFmtId="0" fontId="13" fillId="0" borderId="0" xfId="66" applyFont="1" applyFill="1" applyBorder="1" applyAlignment="1">
      <alignment vertical="center"/>
      <protection/>
    </xf>
    <xf numFmtId="0" fontId="13" fillId="0" borderId="0" xfId="66" applyFont="1">
      <alignment/>
      <protection/>
    </xf>
    <xf numFmtId="0" fontId="1" fillId="0" borderId="12" xfId="66" applyFont="1" applyFill="1" applyBorder="1" applyAlignment="1">
      <alignment horizontal="center" vertical="center" wrapText="1"/>
      <protection/>
    </xf>
    <xf numFmtId="0" fontId="1" fillId="0" borderId="0" xfId="66" applyFont="1" applyFill="1" applyBorder="1" applyAlignment="1">
      <alignment vertical="center"/>
      <protection/>
    </xf>
    <xf numFmtId="0" fontId="1" fillId="0" borderId="0" xfId="66" applyFont="1">
      <alignment/>
      <protection/>
    </xf>
    <xf numFmtId="0" fontId="10" fillId="0" borderId="10" xfId="66" applyNumberFormat="1" applyFont="1" applyFill="1" applyBorder="1" applyAlignment="1">
      <alignment vertical="center" wrapText="1"/>
      <protection/>
    </xf>
    <xf numFmtId="0" fontId="1" fillId="0" borderId="10" xfId="66" applyNumberFormat="1" applyFont="1" applyFill="1" applyBorder="1" applyAlignment="1">
      <alignment horizontal="center" vertical="center"/>
      <protection/>
    </xf>
    <xf numFmtId="2" fontId="1" fillId="0" borderId="10" xfId="66" applyNumberFormat="1" applyFont="1" applyBorder="1" applyAlignment="1">
      <alignment horizontal="right" wrapText="1"/>
      <protection/>
    </xf>
    <xf numFmtId="189" fontId="10" fillId="0" borderId="10" xfId="66" applyNumberFormat="1" applyFont="1" applyFill="1" applyBorder="1" applyAlignment="1">
      <alignment vertical="center"/>
      <protection/>
    </xf>
    <xf numFmtId="189" fontId="1" fillId="0" borderId="10" xfId="66" applyNumberFormat="1" applyFont="1" applyFill="1" applyBorder="1" applyAlignment="1">
      <alignment vertical="center"/>
      <protection/>
    </xf>
    <xf numFmtId="43" fontId="10" fillId="0" borderId="10" xfId="44" applyFont="1" applyFill="1" applyBorder="1" applyAlignment="1">
      <alignment vertical="center"/>
    </xf>
    <xf numFmtId="43" fontId="10" fillId="0" borderId="10" xfId="44" applyFont="1" applyFill="1" applyBorder="1" applyAlignment="1">
      <alignment horizontal="center" vertical="center"/>
    </xf>
    <xf numFmtId="43" fontId="10" fillId="0" borderId="10" xfId="44" applyFont="1" applyFill="1" applyBorder="1" applyAlignment="1">
      <alignment vertical="center" wrapText="1"/>
    </xf>
    <xf numFmtId="0" fontId="10" fillId="0" borderId="15" xfId="66" applyNumberFormat="1" applyFont="1" applyFill="1" applyBorder="1" applyAlignment="1">
      <alignment vertical="center" wrapText="1"/>
      <protection/>
    </xf>
    <xf numFmtId="0" fontId="12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centerContinuous" vertical="center"/>
    </xf>
    <xf numFmtId="0" fontId="29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43" fontId="12" fillId="0" borderId="0" xfId="42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0" fontId="45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46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17" fontId="23" fillId="0" borderId="10" xfId="66" applyNumberFormat="1" applyFont="1" applyBorder="1" applyAlignment="1">
      <alignment horizontal="left" vertical="center"/>
      <protection/>
    </xf>
    <xf numFmtId="204" fontId="23" fillId="0" borderId="10" xfId="66" applyNumberFormat="1" applyFont="1" applyBorder="1" applyAlignment="1">
      <alignment horizontal="center" vertical="top"/>
      <protection/>
    </xf>
    <xf numFmtId="204" fontId="23" fillId="0" borderId="10" xfId="66" applyNumberFormat="1" applyFont="1" applyBorder="1" applyAlignment="1">
      <alignment horizontal="center" vertical="center"/>
      <protection/>
    </xf>
    <xf numFmtId="2" fontId="23" fillId="0" borderId="10" xfId="66" applyNumberFormat="1" applyFont="1" applyBorder="1" applyAlignment="1">
      <alignment horizontal="center" vertical="center"/>
      <protection/>
    </xf>
    <xf numFmtId="1" fontId="12" fillId="0" borderId="10" xfId="66" applyNumberFormat="1" applyFont="1" applyBorder="1">
      <alignment/>
      <protection/>
    </xf>
    <xf numFmtId="204" fontId="12" fillId="0" borderId="10" xfId="66" applyNumberFormat="1" applyFont="1" applyFill="1" applyBorder="1" applyAlignment="1">
      <alignment horizontal="center" vertical="top"/>
      <protection/>
    </xf>
    <xf numFmtId="204" fontId="12" fillId="0" borderId="10" xfId="66" applyNumberFormat="1" applyFont="1" applyBorder="1" applyAlignment="1">
      <alignment horizontal="center" vertical="top"/>
      <protection/>
    </xf>
    <xf numFmtId="204" fontId="12" fillId="0" borderId="10" xfId="66" applyNumberFormat="1" applyFont="1" applyBorder="1" applyAlignment="1">
      <alignment horizontal="center" vertical="center"/>
      <protection/>
    </xf>
    <xf numFmtId="2" fontId="12" fillId="0" borderId="10" xfId="66" applyNumberFormat="1" applyFont="1" applyBorder="1" applyAlignment="1">
      <alignment horizontal="center" vertical="center"/>
      <protection/>
    </xf>
    <xf numFmtId="0" fontId="12" fillId="0" borderId="10" xfId="66" applyFont="1" applyBorder="1">
      <alignment/>
      <protection/>
    </xf>
    <xf numFmtId="0" fontId="23" fillId="0" borderId="10" xfId="66" applyFont="1" applyBorder="1">
      <alignment/>
      <protection/>
    </xf>
    <xf numFmtId="0" fontId="23" fillId="0" borderId="10" xfId="66" applyFont="1" applyBorder="1" applyAlignment="1">
      <alignment horizontal="left" vertical="center"/>
      <protection/>
    </xf>
    <xf numFmtId="189" fontId="12" fillId="0" borderId="10" xfId="66" applyNumberFormat="1" applyFont="1" applyBorder="1" applyAlignment="1">
      <alignment horizontal="center" vertical="center"/>
      <protection/>
    </xf>
    <xf numFmtId="207" fontId="12" fillId="0" borderId="10" xfId="0" applyNumberFormat="1" applyFont="1" applyBorder="1" applyAlignment="1">
      <alignment horizontal="center" vertical="top"/>
    </xf>
    <xf numFmtId="205" fontId="12" fillId="0" borderId="10" xfId="66" applyNumberFormat="1" applyFont="1" applyBorder="1" applyAlignment="1">
      <alignment horizontal="center" vertical="center"/>
      <protection/>
    </xf>
    <xf numFmtId="0" fontId="1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89" fillId="0" borderId="17" xfId="0" applyFont="1" applyBorder="1" applyAlignment="1">
      <alignment horizontal="right"/>
    </xf>
    <xf numFmtId="0" fontId="90" fillId="0" borderId="17" xfId="0" applyFont="1" applyBorder="1" applyAlignment="1">
      <alignment horizontal="right"/>
    </xf>
    <xf numFmtId="0" fontId="1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195" fontId="13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NumberForma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2" fontId="13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13" fillId="0" borderId="0" xfId="0" applyNumberFormat="1" applyFont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2" fontId="6" fillId="0" borderId="19" xfId="0" applyNumberFormat="1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47" fillId="0" borderId="21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2" fontId="47" fillId="0" borderId="10" xfId="0" applyNumberFormat="1" applyFont="1" applyBorder="1" applyAlignment="1">
      <alignment vertical="center" wrapText="1"/>
    </xf>
    <xf numFmtId="0" fontId="47" fillId="0" borderId="22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91" fillId="0" borderId="10" xfId="66" applyFont="1" applyBorder="1" applyAlignment="1">
      <alignment vertical="center"/>
      <protection/>
    </xf>
    <xf numFmtId="2" fontId="91" fillId="0" borderId="10" xfId="66" applyNumberFormat="1" applyFont="1" applyBorder="1" applyAlignment="1">
      <alignment vertical="center"/>
      <protection/>
    </xf>
    <xf numFmtId="0" fontId="13" fillId="0" borderId="10" xfId="0" applyFont="1" applyBorder="1" applyAlignment="1">
      <alignment horizontal="right" vertical="center" wrapText="1"/>
    </xf>
    <xf numFmtId="43" fontId="13" fillId="34" borderId="10" xfId="42" applyFont="1" applyFill="1" applyBorder="1" applyAlignment="1">
      <alignment horizontal="right" vertical="center" wrapText="1"/>
    </xf>
    <xf numFmtId="185" fontId="13" fillId="34" borderId="10" xfId="48" applyNumberFormat="1" applyFont="1" applyFill="1" applyBorder="1" applyAlignment="1">
      <alignment vertical="center" wrapText="1"/>
    </xf>
    <xf numFmtId="4" fontId="21" fillId="0" borderId="26" xfId="0" applyNumberFormat="1" applyFont="1" applyBorder="1" applyAlignment="1">
      <alignment horizontal="right"/>
    </xf>
    <xf numFmtId="4" fontId="21" fillId="0" borderId="26" xfId="0" applyNumberFormat="1" applyFont="1" applyFill="1" applyBorder="1" applyAlignment="1">
      <alignment horizontal="right" vertical="top"/>
    </xf>
    <xf numFmtId="0" fontId="21" fillId="0" borderId="17" xfId="0" applyFont="1" applyBorder="1" applyAlignment="1">
      <alignment horizontal="right" vertical="center"/>
    </xf>
    <xf numFmtId="0" fontId="21" fillId="0" borderId="27" xfId="0" applyFont="1" applyBorder="1" applyAlignment="1">
      <alignment horizontal="right" vertical="center" wrapText="1"/>
    </xf>
    <xf numFmtId="43" fontId="13" fillId="0" borderId="10" xfId="48" applyNumberFormat="1" applyFont="1" applyFill="1" applyBorder="1" applyAlignment="1">
      <alignment horizontal="right" vertical="center" wrapText="1"/>
    </xf>
    <xf numFmtId="4" fontId="13" fillId="0" borderId="26" xfId="0" applyNumberFormat="1" applyFont="1" applyBorder="1" applyAlignment="1">
      <alignment horizontal="right"/>
    </xf>
    <xf numFmtId="4" fontId="13" fillId="0" borderId="26" xfId="0" applyNumberFormat="1" applyFont="1" applyFill="1" applyBorder="1" applyAlignment="1">
      <alignment horizontal="right" vertical="top"/>
    </xf>
    <xf numFmtId="43" fontId="13" fillId="34" borderId="10" xfId="48" applyNumberFormat="1" applyFont="1" applyFill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43" fontId="13" fillId="34" borderId="14" xfId="48" applyNumberFormat="1" applyFont="1" applyFill="1" applyBorder="1" applyAlignment="1">
      <alignment wrapText="1"/>
    </xf>
    <xf numFmtId="43" fontId="13" fillId="34" borderId="15" xfId="48" applyNumberFormat="1" applyFont="1" applyFill="1" applyBorder="1" applyAlignment="1">
      <alignment vertical="center" wrapText="1"/>
    </xf>
    <xf numFmtId="43" fontId="13" fillId="34" borderId="12" xfId="48" applyNumberFormat="1" applyFont="1" applyFill="1" applyBorder="1" applyAlignment="1">
      <alignment wrapText="1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wrapText="1"/>
    </xf>
    <xf numFmtId="4" fontId="13" fillId="0" borderId="10" xfId="0" applyNumberFormat="1" applyFont="1" applyBorder="1" applyAlignment="1">
      <alignment/>
    </xf>
    <xf numFmtId="4" fontId="13" fillId="0" borderId="10" xfId="0" applyNumberFormat="1" applyFont="1" applyFill="1" applyBorder="1" applyAlignment="1">
      <alignment/>
    </xf>
    <xf numFmtId="2" fontId="20" fillId="0" borderId="10" xfId="0" applyNumberFormat="1" applyFont="1" applyFill="1" applyBorder="1" applyAlignment="1">
      <alignment horizontal="right" vertical="center"/>
    </xf>
    <xf numFmtId="43" fontId="20" fillId="0" borderId="11" xfId="48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5" fillId="0" borderId="15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vertical="center"/>
    </xf>
    <xf numFmtId="0" fontId="23" fillId="0" borderId="0" xfId="66" applyFont="1" applyAlignment="1">
      <alignment vertical="center"/>
      <protection/>
    </xf>
    <xf numFmtId="0" fontId="23" fillId="0" borderId="0" xfId="66" applyFont="1" applyAlignment="1">
      <alignment vertical="center" wrapText="1"/>
      <protection/>
    </xf>
    <xf numFmtId="43" fontId="23" fillId="0" borderId="0" xfId="44" applyFont="1" applyAlignment="1">
      <alignment horizontal="left" vertical="center" wrapText="1"/>
    </xf>
    <xf numFmtId="0" fontId="12" fillId="0" borderId="0" xfId="66" applyFont="1" applyAlignment="1">
      <alignment vertical="center"/>
      <protection/>
    </xf>
    <xf numFmtId="0" fontId="23" fillId="0" borderId="0" xfId="66" applyFont="1" applyBorder="1" applyAlignment="1">
      <alignment vertical="center"/>
      <protection/>
    </xf>
    <xf numFmtId="0" fontId="23" fillId="0" borderId="0" xfId="66" applyFont="1" applyBorder="1" applyAlignment="1">
      <alignment vertical="center" wrapText="1"/>
      <protection/>
    </xf>
    <xf numFmtId="43" fontId="23" fillId="0" borderId="0" xfId="44" applyFont="1" applyBorder="1" applyAlignment="1">
      <alignment horizontal="left" vertical="center" wrapText="1"/>
    </xf>
    <xf numFmtId="0" fontId="12" fillId="0" borderId="0" xfId="66" applyFont="1" applyBorder="1" applyAlignment="1">
      <alignment vertical="center"/>
      <protection/>
    </xf>
    <xf numFmtId="43" fontId="23" fillId="0" borderId="0" xfId="66" applyNumberFormat="1" applyFont="1" applyBorder="1" applyAlignment="1">
      <alignment vertical="center"/>
      <protection/>
    </xf>
    <xf numFmtId="179" fontId="23" fillId="0" borderId="0" xfId="66" applyNumberFormat="1" applyFont="1" applyBorder="1" applyAlignment="1">
      <alignment vertical="center"/>
      <protection/>
    </xf>
    <xf numFmtId="43" fontId="12" fillId="0" borderId="0" xfId="66" applyNumberFormat="1" applyFont="1" applyBorder="1" applyAlignment="1">
      <alignment vertical="center"/>
      <protection/>
    </xf>
    <xf numFmtId="0" fontId="12" fillId="0" borderId="0" xfId="66" applyFont="1" applyBorder="1" applyAlignment="1">
      <alignment vertical="center" wrapText="1"/>
      <protection/>
    </xf>
    <xf numFmtId="43" fontId="23" fillId="0" borderId="0" xfId="44" applyFont="1" applyBorder="1" applyAlignment="1">
      <alignment vertical="center"/>
    </xf>
    <xf numFmtId="0" fontId="12" fillId="38" borderId="0" xfId="66" applyFont="1" applyFill="1" applyBorder="1" applyAlignment="1">
      <alignment vertical="center"/>
      <protection/>
    </xf>
    <xf numFmtId="17" fontId="12" fillId="38" borderId="0" xfId="66" applyNumberFormat="1" applyFont="1" applyFill="1" applyBorder="1" applyAlignment="1">
      <alignment vertical="center"/>
      <protection/>
    </xf>
    <xf numFmtId="0" fontId="12" fillId="38" borderId="0" xfId="66" applyFont="1" applyFill="1" applyBorder="1" applyAlignment="1">
      <alignment vertical="center" wrapText="1"/>
      <protection/>
    </xf>
    <xf numFmtId="43" fontId="12" fillId="38" borderId="0" xfId="44" applyFont="1" applyFill="1" applyBorder="1" applyAlignment="1">
      <alignment horizontal="left" vertical="center" wrapText="1"/>
    </xf>
    <xf numFmtId="43" fontId="12" fillId="0" borderId="0" xfId="44" applyFont="1" applyBorder="1" applyAlignment="1">
      <alignment horizontal="left" vertical="center" wrapText="1"/>
    </xf>
    <xf numFmtId="2" fontId="12" fillId="0" borderId="0" xfId="66" applyNumberFormat="1" applyFont="1" applyFill="1" applyBorder="1" applyAlignment="1">
      <alignment horizontal="center" vertical="center"/>
      <protection/>
    </xf>
    <xf numFmtId="0" fontId="23" fillId="0" borderId="0" xfId="66" applyFont="1" applyFill="1" applyAlignment="1">
      <alignment vertical="center"/>
      <protection/>
    </xf>
    <xf numFmtId="0" fontId="23" fillId="0" borderId="0" xfId="66" applyFont="1" applyFill="1" applyBorder="1" applyAlignment="1">
      <alignment vertical="center"/>
      <protection/>
    </xf>
    <xf numFmtId="0" fontId="23" fillId="0" borderId="0" xfId="66" applyFont="1" applyFill="1" applyBorder="1" applyAlignment="1">
      <alignment vertical="center" wrapText="1"/>
      <protection/>
    </xf>
    <xf numFmtId="43" fontId="23" fillId="0" borderId="0" xfId="44" applyFont="1" applyFill="1" applyBorder="1" applyAlignment="1">
      <alignment horizontal="left" vertical="center" wrapText="1"/>
    </xf>
    <xf numFmtId="0" fontId="12" fillId="0" borderId="0" xfId="66" applyFont="1" applyFill="1" applyBorder="1" applyAlignment="1">
      <alignment vertical="center"/>
      <protection/>
    </xf>
    <xf numFmtId="0" fontId="23" fillId="0" borderId="0" xfId="66" applyNumberFormat="1" applyFont="1" applyFill="1" applyBorder="1" applyAlignment="1">
      <alignment horizontal="left" vertical="center" wrapText="1"/>
      <protection/>
    </xf>
    <xf numFmtId="0" fontId="12" fillId="0" borderId="0" xfId="66" applyFont="1" applyFill="1" applyBorder="1" applyAlignment="1">
      <alignment vertical="center" wrapText="1"/>
      <protection/>
    </xf>
    <xf numFmtId="43" fontId="12" fillId="0" borderId="0" xfId="44" applyFont="1" applyFill="1" applyBorder="1" applyAlignment="1">
      <alignment horizontal="left" vertical="center" wrapText="1"/>
    </xf>
    <xf numFmtId="0" fontId="12" fillId="38" borderId="10" xfId="66" applyFont="1" applyFill="1" applyBorder="1" applyAlignment="1">
      <alignment vertical="center" wrapText="1"/>
      <protection/>
    </xf>
    <xf numFmtId="43" fontId="12" fillId="38" borderId="10" xfId="44" applyFont="1" applyFill="1" applyBorder="1" applyAlignment="1">
      <alignment horizontal="left" vertical="center" wrapText="1"/>
    </xf>
    <xf numFmtId="0" fontId="12" fillId="38" borderId="10" xfId="66" applyFont="1" applyFill="1" applyBorder="1" applyAlignment="1">
      <alignment vertical="center"/>
      <protection/>
    </xf>
    <xf numFmtId="43" fontId="12" fillId="0" borderId="0" xfId="44" applyFont="1" applyAlignment="1">
      <alignment horizontal="left" vertical="center" wrapText="1"/>
    </xf>
    <xf numFmtId="43" fontId="12" fillId="0" borderId="10" xfId="49" applyNumberFormat="1" applyFont="1" applyFill="1" applyBorder="1" applyAlignment="1">
      <alignment horizontal="right" vertical="center" wrapText="1"/>
    </xf>
    <xf numFmtId="2" fontId="12" fillId="0" borderId="10" xfId="66" applyNumberFormat="1" applyFont="1" applyFill="1" applyBorder="1" applyAlignment="1">
      <alignment horizontal="right" vertical="center"/>
      <protection/>
    </xf>
    <xf numFmtId="0" fontId="23" fillId="0" borderId="10" xfId="66" applyNumberFormat="1" applyFont="1" applyFill="1" applyBorder="1" applyAlignment="1">
      <alignment horizontal="left" vertical="center" wrapText="1"/>
      <protection/>
    </xf>
    <xf numFmtId="43" fontId="12" fillId="0" borderId="10" xfId="44" applyFont="1" applyBorder="1" applyAlignment="1">
      <alignment horizontal="left" vertical="center" wrapText="1"/>
    </xf>
    <xf numFmtId="0" fontId="23" fillId="0" borderId="10" xfId="66" applyFont="1" applyBorder="1" applyAlignment="1">
      <alignment vertical="center" wrapText="1"/>
      <protection/>
    </xf>
    <xf numFmtId="43" fontId="12" fillId="0" borderId="10" xfId="44" applyFont="1" applyFill="1" applyBorder="1" applyAlignment="1">
      <alignment horizontal="left" vertical="center" wrapText="1"/>
    </xf>
    <xf numFmtId="0" fontId="12" fillId="0" borderId="10" xfId="66" applyFont="1" applyFill="1" applyBorder="1" applyAlignment="1">
      <alignment horizontal="center" vertical="center" wrapText="1"/>
      <protection/>
    </xf>
    <xf numFmtId="0" fontId="12" fillId="0" borderId="10" xfId="66" applyFont="1" applyFill="1" applyBorder="1" applyAlignment="1">
      <alignment horizontal="center" vertical="center"/>
      <protection/>
    </xf>
    <xf numFmtId="2" fontId="12" fillId="34" borderId="10" xfId="66" applyNumberFormat="1" applyFont="1" applyFill="1" applyBorder="1" applyAlignment="1">
      <alignment horizontal="right" vertical="center"/>
      <protection/>
    </xf>
    <xf numFmtId="0" fontId="23" fillId="0" borderId="10" xfId="66" applyFont="1" applyFill="1" applyBorder="1" applyAlignment="1">
      <alignment vertical="center"/>
      <protection/>
    </xf>
    <xf numFmtId="0" fontId="23" fillId="0" borderId="10" xfId="66" applyFont="1" applyFill="1" applyBorder="1" applyAlignment="1">
      <alignment horizontal="right" vertical="center"/>
      <protection/>
    </xf>
    <xf numFmtId="0" fontId="12" fillId="0" borderId="14" xfId="66" applyFont="1" applyFill="1" applyBorder="1" applyAlignment="1">
      <alignment vertical="center"/>
      <protection/>
    </xf>
    <xf numFmtId="17" fontId="12" fillId="0" borderId="10" xfId="66" applyNumberFormat="1" applyFont="1" applyFill="1" applyBorder="1" applyAlignment="1">
      <alignment horizontal="center" vertical="center"/>
      <protection/>
    </xf>
    <xf numFmtId="0" fontId="23" fillId="0" borderId="0" xfId="66" applyFont="1" applyFill="1" applyAlignment="1">
      <alignment vertical="center" wrapText="1"/>
      <protection/>
    </xf>
    <xf numFmtId="43" fontId="23" fillId="0" borderId="0" xfId="44" applyFont="1" applyFill="1" applyAlignment="1">
      <alignment horizontal="left" vertical="center" wrapText="1"/>
    </xf>
    <xf numFmtId="0" fontId="12" fillId="0" borderId="0" xfId="66" applyFont="1" applyFill="1" applyAlignment="1">
      <alignment vertical="center"/>
      <protection/>
    </xf>
    <xf numFmtId="0" fontId="3" fillId="0" borderId="0" xfId="66" applyNumberFormat="1" applyFont="1" applyFill="1" applyBorder="1" applyAlignment="1">
      <alignment horizontal="left" vertical="center"/>
      <protection/>
    </xf>
    <xf numFmtId="0" fontId="3" fillId="0" borderId="10" xfId="66" applyNumberFormat="1" applyFont="1" applyFill="1" applyBorder="1" applyAlignment="1">
      <alignment vertical="center"/>
      <protection/>
    </xf>
    <xf numFmtId="0" fontId="12" fillId="0" borderId="10" xfId="66" applyNumberFormat="1" applyFont="1" applyFill="1" applyBorder="1" applyAlignment="1">
      <alignment horizontal="right" vertical="center"/>
      <protection/>
    </xf>
    <xf numFmtId="43" fontId="2" fillId="0" borderId="10" xfId="44" applyFont="1" applyFill="1" applyBorder="1" applyAlignment="1">
      <alignment horizontal="left" vertical="center"/>
    </xf>
    <xf numFmtId="0" fontId="23" fillId="0" borderId="0" xfId="66" applyFont="1" applyFill="1" applyAlignment="1">
      <alignment horizontal="center" vertical="center"/>
      <protection/>
    </xf>
    <xf numFmtId="0" fontId="23" fillId="0" borderId="0" xfId="66" applyFont="1" applyFill="1" applyBorder="1" applyAlignment="1">
      <alignment horizontal="center" vertical="center"/>
      <protection/>
    </xf>
    <xf numFmtId="43" fontId="23" fillId="0" borderId="0" xfId="66" applyNumberFormat="1" applyFont="1" applyFill="1" applyBorder="1" applyAlignment="1">
      <alignment vertical="center"/>
      <protection/>
    </xf>
    <xf numFmtId="179" fontId="23" fillId="0" borderId="0" xfId="66" applyNumberFormat="1" applyFont="1" applyFill="1" applyBorder="1" applyAlignment="1">
      <alignment vertical="center"/>
      <protection/>
    </xf>
    <xf numFmtId="43" fontId="12" fillId="0" borderId="0" xfId="66" applyNumberFormat="1" applyFont="1" applyFill="1" applyBorder="1" applyAlignment="1">
      <alignment vertical="center"/>
      <protection/>
    </xf>
    <xf numFmtId="0" fontId="12" fillId="0" borderId="0" xfId="66" applyFont="1" applyFill="1" applyBorder="1" applyAlignment="1">
      <alignment horizontal="center" vertical="center"/>
      <protection/>
    </xf>
    <xf numFmtId="43" fontId="23" fillId="0" borderId="0" xfId="44" applyFont="1" applyFill="1" applyBorder="1" applyAlignment="1">
      <alignment vertical="center"/>
    </xf>
    <xf numFmtId="17" fontId="12" fillId="0" borderId="0" xfId="66" applyNumberFormat="1" applyFont="1" applyFill="1" applyBorder="1" applyAlignment="1">
      <alignment vertical="center"/>
      <protection/>
    </xf>
    <xf numFmtId="43" fontId="12" fillId="0" borderId="0" xfId="44" applyFont="1" applyFill="1" applyBorder="1" applyAlignment="1">
      <alignment vertical="center"/>
    </xf>
    <xf numFmtId="17" fontId="12" fillId="0" borderId="0" xfId="66" applyNumberFormat="1" applyFont="1" applyFill="1" applyBorder="1" applyAlignment="1">
      <alignment horizontal="center" vertical="center"/>
      <protection/>
    </xf>
    <xf numFmtId="0" fontId="33" fillId="0" borderId="0" xfId="66" applyFont="1" applyFill="1" applyAlignment="1">
      <alignment vertical="center"/>
      <protection/>
    </xf>
    <xf numFmtId="43" fontId="23" fillId="0" borderId="0" xfId="44" applyFont="1" applyFill="1" applyAlignment="1">
      <alignment vertical="center"/>
    </xf>
    <xf numFmtId="0" fontId="3" fillId="0" borderId="0" xfId="66" applyNumberFormat="1" applyFont="1" applyFill="1" applyAlignment="1">
      <alignment vertical="center"/>
      <protection/>
    </xf>
    <xf numFmtId="0" fontId="12" fillId="0" borderId="0" xfId="66" applyNumberFormat="1" applyFont="1" applyFill="1" applyAlignment="1">
      <alignment horizontal="right" vertical="center"/>
      <protection/>
    </xf>
    <xf numFmtId="0" fontId="2" fillId="0" borderId="0" xfId="66" applyNumberFormat="1" applyFont="1" applyFill="1" applyAlignment="1">
      <alignment vertical="center"/>
      <protection/>
    </xf>
    <xf numFmtId="43" fontId="1" fillId="34" borderId="11" xfId="48" applyNumberFormat="1" applyFont="1" applyFill="1" applyBorder="1" applyAlignment="1">
      <alignment vertical="center" wrapText="1"/>
    </xf>
    <xf numFmtId="0" fontId="49" fillId="0" borderId="10" xfId="66" applyNumberFormat="1" applyFont="1" applyFill="1" applyBorder="1" applyAlignment="1">
      <alignment horizontal="left" vertical="center" wrapText="1"/>
      <protection/>
    </xf>
    <xf numFmtId="0" fontId="49" fillId="0" borderId="10" xfId="66" applyFont="1" applyBorder="1" applyAlignment="1">
      <alignment horizontal="center" vertical="center"/>
      <protection/>
    </xf>
    <xf numFmtId="1" fontId="49" fillId="0" borderId="10" xfId="66" applyNumberFormat="1" applyFont="1" applyBorder="1" applyAlignment="1">
      <alignment horizontal="right" vertical="center"/>
      <protection/>
    </xf>
    <xf numFmtId="2" fontId="50" fillId="0" borderId="10" xfId="66" applyNumberFormat="1" applyFont="1" applyFill="1" applyBorder="1" applyAlignment="1">
      <alignment vertical="center"/>
      <protection/>
    </xf>
    <xf numFmtId="43" fontId="50" fillId="0" borderId="10" xfId="49" applyNumberFormat="1" applyFont="1" applyFill="1" applyBorder="1" applyAlignment="1">
      <alignment vertical="center" wrapText="1"/>
    </xf>
    <xf numFmtId="2" fontId="50" fillId="0" borderId="10" xfId="66" applyNumberFormat="1" applyFont="1" applyBorder="1" applyAlignment="1">
      <alignment vertical="center"/>
      <protection/>
    </xf>
    <xf numFmtId="0" fontId="49" fillId="0" borderId="0" xfId="66" applyFont="1" applyFill="1" applyAlignment="1">
      <alignment vertical="center"/>
      <protection/>
    </xf>
    <xf numFmtId="17" fontId="50" fillId="0" borderId="10" xfId="66" applyNumberFormat="1" applyFont="1" applyFill="1" applyBorder="1" applyAlignment="1">
      <alignment vertical="center"/>
      <protection/>
    </xf>
    <xf numFmtId="0" fontId="50" fillId="0" borderId="10" xfId="66" applyFont="1" applyBorder="1" applyAlignment="1">
      <alignment vertical="center"/>
      <protection/>
    </xf>
    <xf numFmtId="0" fontId="49" fillId="0" borderId="10" xfId="66" applyFont="1" applyFill="1" applyBorder="1" applyAlignment="1">
      <alignment vertical="center"/>
      <protection/>
    </xf>
    <xf numFmtId="2" fontId="49" fillId="0" borderId="10" xfId="66" applyNumberFormat="1" applyFont="1" applyBorder="1" applyAlignment="1">
      <alignment vertical="center"/>
      <protection/>
    </xf>
    <xf numFmtId="0" fontId="49" fillId="0" borderId="10" xfId="66" applyFont="1" applyBorder="1" applyAlignment="1">
      <alignment vertical="center"/>
      <protection/>
    </xf>
    <xf numFmtId="0" fontId="0" fillId="0" borderId="0" xfId="66" applyFont="1">
      <alignment/>
      <protection/>
    </xf>
    <xf numFmtId="0" fontId="0" fillId="0" borderId="0" xfId="66" applyFont="1" applyBorder="1">
      <alignment/>
      <protection/>
    </xf>
    <xf numFmtId="0" fontId="13" fillId="0" borderId="0" xfId="66" applyFont="1" applyBorder="1">
      <alignment/>
      <protection/>
    </xf>
    <xf numFmtId="0" fontId="23" fillId="0" borderId="0" xfId="66" applyFont="1" applyAlignment="1">
      <alignment wrapText="1"/>
      <protection/>
    </xf>
    <xf numFmtId="0" fontId="23" fillId="0" borderId="0" xfId="66" applyFont="1" applyBorder="1" applyAlignment="1">
      <alignment wrapText="1"/>
      <protection/>
    </xf>
    <xf numFmtId="189" fontId="35" fillId="0" borderId="10" xfId="66" applyNumberFormat="1" applyFont="1" applyBorder="1" applyAlignment="1">
      <alignment horizontal="right" wrapText="1"/>
      <protection/>
    </xf>
    <xf numFmtId="189" fontId="23" fillId="0" borderId="10" xfId="66" applyNumberFormat="1" applyFont="1" applyBorder="1" applyAlignment="1">
      <alignment wrapText="1"/>
      <protection/>
    </xf>
    <xf numFmtId="0" fontId="23" fillId="0" borderId="10" xfId="66" applyFont="1" applyBorder="1" applyAlignment="1">
      <alignment horizontal="justify" wrapText="1"/>
      <protection/>
    </xf>
    <xf numFmtId="189" fontId="23" fillId="0" borderId="10" xfId="66" applyNumberFormat="1" applyFont="1" applyBorder="1" applyAlignment="1">
      <alignment horizontal="right" wrapText="1"/>
      <protection/>
    </xf>
    <xf numFmtId="0" fontId="35" fillId="0" borderId="10" xfId="66" applyFont="1" applyBorder="1" applyAlignment="1">
      <alignment horizontal="justify" wrapText="1"/>
      <protection/>
    </xf>
    <xf numFmtId="189" fontId="35" fillId="0" borderId="10" xfId="66" applyNumberFormat="1" applyFont="1" applyBorder="1" applyAlignment="1">
      <alignment wrapText="1"/>
      <protection/>
    </xf>
    <xf numFmtId="0" fontId="35" fillId="0" borderId="10" xfId="66" applyFont="1" applyBorder="1" applyAlignment="1">
      <alignment wrapText="1"/>
      <protection/>
    </xf>
    <xf numFmtId="0" fontId="2" fillId="0" borderId="10" xfId="66" applyFont="1" applyBorder="1" applyAlignment="1">
      <alignment horizontal="center" wrapText="1"/>
      <protection/>
    </xf>
    <xf numFmtId="0" fontId="2" fillId="0" borderId="10" xfId="66" applyFont="1" applyBorder="1" applyAlignment="1">
      <alignment wrapText="1"/>
      <protection/>
    </xf>
    <xf numFmtId="0" fontId="12" fillId="0" borderId="0" xfId="66" applyFont="1" applyBorder="1" applyAlignment="1">
      <alignment horizontal="center" vertical="top" wrapText="1"/>
      <protection/>
    </xf>
    <xf numFmtId="0" fontId="12" fillId="0" borderId="0" xfId="66" applyFont="1" applyBorder="1" applyAlignment="1">
      <alignment wrapText="1"/>
      <protection/>
    </xf>
    <xf numFmtId="0" fontId="12" fillId="0" borderId="0" xfId="66" applyFont="1" applyBorder="1" applyAlignment="1">
      <alignment vertical="top" wrapText="1"/>
      <protection/>
    </xf>
    <xf numFmtId="2" fontId="12" fillId="0" borderId="10" xfId="66" applyNumberFormat="1" applyFont="1" applyBorder="1" applyAlignment="1">
      <alignment horizontal="center" vertical="top" wrapText="1"/>
      <protection/>
    </xf>
    <xf numFmtId="0" fontId="12" fillId="0" borderId="10" xfId="66" applyFont="1" applyBorder="1" applyAlignment="1">
      <alignment vertical="top" wrapText="1"/>
      <protection/>
    </xf>
    <xf numFmtId="0" fontId="12" fillId="0" borderId="10" xfId="66" applyFont="1" applyBorder="1" applyAlignment="1">
      <alignment horizontal="center" vertical="top" wrapText="1"/>
      <protection/>
    </xf>
    <xf numFmtId="0" fontId="23" fillId="0" borderId="10" xfId="66" applyFont="1" applyBorder="1" applyAlignment="1">
      <alignment vertical="top" wrapText="1"/>
      <protection/>
    </xf>
    <xf numFmtId="0" fontId="23" fillId="0" borderId="10" xfId="66" applyFont="1" applyBorder="1" applyAlignment="1">
      <alignment horizontal="center" vertical="top" wrapText="1"/>
      <protection/>
    </xf>
    <xf numFmtId="0" fontId="23" fillId="0" borderId="10" xfId="66" applyFont="1" applyBorder="1" applyAlignment="1">
      <alignment horizontal="right" vertical="top" wrapText="1"/>
      <protection/>
    </xf>
    <xf numFmtId="2" fontId="23" fillId="0" borderId="10" xfId="66" applyNumberFormat="1" applyFont="1" applyBorder="1" applyAlignment="1">
      <alignment horizontal="center" vertical="top" wrapText="1"/>
      <protection/>
    </xf>
    <xf numFmtId="0" fontId="2" fillId="0" borderId="0" xfId="66" applyNumberFormat="1" applyFont="1" applyFill="1" applyBorder="1" applyAlignment="1">
      <alignment horizontal="centerContinuous" wrapText="1"/>
      <protection/>
    </xf>
    <xf numFmtId="0" fontId="2" fillId="0" borderId="0" xfId="66" applyNumberFormat="1" applyFont="1" applyFill="1" applyBorder="1" applyAlignment="1">
      <alignment horizontal="left" wrapText="1"/>
      <protection/>
    </xf>
    <xf numFmtId="0" fontId="3" fillId="0" borderId="0" xfId="66" applyNumberFormat="1" applyFont="1" applyFill="1" applyAlignment="1">
      <alignment wrapText="1"/>
      <protection/>
    </xf>
    <xf numFmtId="0" fontId="12" fillId="0" borderId="0" xfId="66" applyNumberFormat="1" applyFont="1" applyFill="1" applyAlignment="1">
      <alignment horizontal="right" wrapText="1"/>
      <protection/>
    </xf>
    <xf numFmtId="0" fontId="2" fillId="0" borderId="0" xfId="66" applyNumberFormat="1" applyFont="1" applyFill="1" applyAlignment="1">
      <alignment wrapText="1"/>
      <protection/>
    </xf>
    <xf numFmtId="0" fontId="0" fillId="0" borderId="12" xfId="66" applyBorder="1" applyAlignment="1">
      <alignment vertical="center"/>
      <protection/>
    </xf>
    <xf numFmtId="0" fontId="10" fillId="0" borderId="10" xfId="66" applyNumberFormat="1" applyFont="1" applyFill="1" applyBorder="1" applyAlignment="1">
      <alignment vertical="center"/>
      <protection/>
    </xf>
    <xf numFmtId="43" fontId="1" fillId="0" borderId="10" xfId="44" applyFont="1" applyFill="1" applyBorder="1" applyAlignment="1">
      <alignment horizontal="left" vertical="center" wrapText="1"/>
    </xf>
    <xf numFmtId="0" fontId="10" fillId="0" borderId="10" xfId="66" applyNumberFormat="1" applyFont="1" applyFill="1" applyBorder="1" applyAlignment="1">
      <alignment horizontal="center" vertical="center"/>
      <protection/>
    </xf>
    <xf numFmtId="0" fontId="22" fillId="0" borderId="10" xfId="66" applyNumberFormat="1" applyFont="1" applyFill="1" applyBorder="1" applyAlignment="1">
      <alignment vertical="center"/>
      <protection/>
    </xf>
    <xf numFmtId="2" fontId="22" fillId="0" borderId="10" xfId="66" applyNumberFormat="1" applyFont="1" applyFill="1" applyBorder="1" applyAlignment="1">
      <alignment vertical="center"/>
      <protection/>
    </xf>
    <xf numFmtId="178" fontId="22" fillId="0" borderId="10" xfId="66" applyNumberFormat="1" applyFont="1" applyFill="1" applyBorder="1" applyAlignment="1">
      <alignment horizontal="center" vertical="center"/>
      <protection/>
    </xf>
    <xf numFmtId="0" fontId="22" fillId="0" borderId="10" xfId="66" applyNumberFormat="1" applyFont="1" applyFill="1" applyBorder="1" applyAlignment="1">
      <alignment horizontal="center" vertical="center"/>
      <protection/>
    </xf>
    <xf numFmtId="0" fontId="13" fillId="0" borderId="10" xfId="66" applyNumberFormat="1" applyFont="1" applyFill="1" applyBorder="1" applyAlignment="1">
      <alignment horizontal="center" vertical="center"/>
      <protection/>
    </xf>
    <xf numFmtId="0" fontId="10" fillId="0" borderId="0" xfId="66" applyNumberFormat="1" applyFont="1" applyFill="1" applyBorder="1" applyAlignment="1">
      <alignment horizontal="center" vertical="center"/>
      <protection/>
    </xf>
    <xf numFmtId="43" fontId="10" fillId="0" borderId="0" xfId="44" applyFont="1" applyFill="1" applyBorder="1" applyAlignment="1">
      <alignment vertical="center" wrapText="1"/>
    </xf>
    <xf numFmtId="2" fontId="10" fillId="0" borderId="10" xfId="66" applyNumberFormat="1" applyFont="1" applyFill="1" applyBorder="1" applyAlignment="1">
      <alignment vertical="center"/>
      <protection/>
    </xf>
    <xf numFmtId="189" fontId="22" fillId="0" borderId="10" xfId="66" applyNumberFormat="1" applyFont="1" applyFill="1" applyBorder="1" applyAlignment="1">
      <alignment vertical="center"/>
      <protection/>
    </xf>
    <xf numFmtId="9" fontId="22" fillId="0" borderId="10" xfId="66" applyNumberFormat="1" applyFont="1" applyFill="1" applyBorder="1" applyAlignment="1">
      <alignment horizontal="center" vertical="center"/>
      <protection/>
    </xf>
    <xf numFmtId="0" fontId="1" fillId="0" borderId="0" xfId="66" applyNumberFormat="1" applyFont="1" applyFill="1" applyBorder="1" applyAlignment="1">
      <alignment horizontal="center" vertical="center"/>
      <protection/>
    </xf>
    <xf numFmtId="0" fontId="6" fillId="0" borderId="0" xfId="66" applyNumberFormat="1" applyFont="1" applyFill="1" applyBorder="1" applyAlignment="1">
      <alignment horizontal="center" vertical="center"/>
      <protection/>
    </xf>
    <xf numFmtId="0" fontId="1" fillId="0" borderId="10" xfId="66" applyNumberFormat="1" applyFont="1" applyFill="1" applyBorder="1" applyAlignment="1">
      <alignment horizontal="center" vertical="center" wrapText="1"/>
      <protection/>
    </xf>
    <xf numFmtId="0" fontId="22" fillId="0" borderId="10" xfId="66" applyNumberFormat="1" applyFont="1" applyFill="1" applyBorder="1" applyAlignment="1">
      <alignment vertical="center" wrapText="1"/>
      <protection/>
    </xf>
    <xf numFmtId="43" fontId="13" fillId="0" borderId="0" xfId="44" applyFont="1" applyFill="1" applyBorder="1" applyAlignment="1">
      <alignment vertical="center"/>
    </xf>
    <xf numFmtId="0" fontId="10" fillId="0" borderId="10" xfId="66" applyNumberFormat="1" applyFont="1" applyFill="1" applyBorder="1" applyAlignment="1">
      <alignment horizontal="left" vertical="center"/>
      <protection/>
    </xf>
    <xf numFmtId="43" fontId="10" fillId="0" borderId="10" xfId="66" applyNumberFormat="1" applyFont="1" applyFill="1" applyBorder="1" applyAlignment="1">
      <alignment horizontal="center" vertical="center"/>
      <protection/>
    </xf>
    <xf numFmtId="43" fontId="22" fillId="0" borderId="10" xfId="66" applyNumberFormat="1" applyFont="1" applyFill="1" applyBorder="1" applyAlignment="1">
      <alignment vertical="center"/>
      <protection/>
    </xf>
    <xf numFmtId="43" fontId="10" fillId="0" borderId="10" xfId="66" applyNumberFormat="1" applyFont="1" applyFill="1" applyBorder="1" applyAlignment="1">
      <alignment vertical="center"/>
      <protection/>
    </xf>
    <xf numFmtId="0" fontId="13" fillId="0" borderId="0" xfId="66" applyFont="1" applyAlignment="1">
      <alignment vertical="center"/>
      <protection/>
    </xf>
    <xf numFmtId="43" fontId="87" fillId="0" borderId="10" xfId="44" applyNumberFormat="1" applyFont="1" applyFill="1" applyBorder="1" applyAlignment="1">
      <alignment vertical="center"/>
    </xf>
    <xf numFmtId="189" fontId="87" fillId="0" borderId="10" xfId="66" applyNumberFormat="1" applyFont="1" applyFill="1" applyBorder="1" applyAlignment="1">
      <alignment vertical="center"/>
      <protection/>
    </xf>
    <xf numFmtId="2" fontId="87" fillId="0" borderId="10" xfId="66" applyNumberFormat="1" applyFont="1" applyBorder="1" applyAlignment="1">
      <alignment horizontal="right" wrapText="1"/>
      <protection/>
    </xf>
    <xf numFmtId="43" fontId="13" fillId="0" borderId="10" xfId="44" applyFont="1" applyFill="1" applyBorder="1" applyAlignment="1">
      <alignment vertical="center"/>
    </xf>
    <xf numFmtId="0" fontId="1" fillId="0" borderId="10" xfId="66" applyNumberFormat="1" applyFont="1" applyFill="1" applyBorder="1" applyAlignment="1">
      <alignment vertical="center"/>
      <protection/>
    </xf>
    <xf numFmtId="0" fontId="5" fillId="0" borderId="0" xfId="66" applyNumberFormat="1" applyFont="1" applyFill="1" applyBorder="1" applyAlignment="1">
      <alignment horizontal="centerContinuous" vertical="center"/>
      <protection/>
    </xf>
    <xf numFmtId="43" fontId="8" fillId="0" borderId="0" xfId="44" applyFont="1" applyFill="1" applyBorder="1" applyAlignment="1">
      <alignment horizontal="left" vertical="center"/>
    </xf>
    <xf numFmtId="0" fontId="13" fillId="0" borderId="0" xfId="66" applyNumberFormat="1" applyFont="1" applyFill="1" applyBorder="1" applyAlignment="1">
      <alignment vertical="center"/>
      <protection/>
    </xf>
    <xf numFmtId="0" fontId="1" fillId="0" borderId="0" xfId="66" applyNumberFormat="1" applyFont="1" applyFill="1" applyBorder="1" applyAlignment="1">
      <alignment vertical="center"/>
      <protection/>
    </xf>
    <xf numFmtId="43" fontId="10" fillId="0" borderId="0" xfId="44" applyFont="1" applyFill="1" applyBorder="1" applyAlignment="1">
      <alignment vertical="center"/>
    </xf>
    <xf numFmtId="43" fontId="10" fillId="0" borderId="10" xfId="44" applyFont="1" applyFill="1" applyBorder="1" applyAlignment="1">
      <alignment horizontal="left" vertical="center" wrapText="1"/>
    </xf>
    <xf numFmtId="43" fontId="13" fillId="0" borderId="10" xfId="44" applyFont="1" applyFill="1" applyBorder="1" applyAlignment="1">
      <alignment horizontal="left" vertical="center"/>
    </xf>
    <xf numFmtId="0" fontId="13" fillId="0" borderId="10" xfId="66" applyNumberFormat="1" applyFont="1" applyFill="1" applyBorder="1" applyAlignment="1">
      <alignment vertical="center"/>
      <protection/>
    </xf>
    <xf numFmtId="43" fontId="22" fillId="0" borderId="10" xfId="44" applyFont="1" applyFill="1" applyBorder="1" applyAlignment="1">
      <alignment vertical="center" wrapText="1"/>
    </xf>
    <xf numFmtId="2" fontId="6" fillId="0" borderId="0" xfId="66" applyNumberFormat="1" applyFont="1" applyFill="1" applyBorder="1" applyAlignment="1">
      <alignment horizontal="center" vertical="center"/>
      <protection/>
    </xf>
    <xf numFmtId="43" fontId="10" fillId="0" borderId="10" xfId="44" applyFont="1" applyFill="1" applyBorder="1" applyAlignment="1">
      <alignment horizontal="left" vertical="center"/>
    </xf>
    <xf numFmtId="2" fontId="22" fillId="0" borderId="10" xfId="66" applyNumberFormat="1" applyFont="1" applyFill="1" applyBorder="1" applyAlignment="1">
      <alignment vertical="center" wrapText="1"/>
      <protection/>
    </xf>
    <xf numFmtId="2" fontId="22" fillId="0" borderId="10" xfId="66" applyNumberFormat="1" applyFont="1" applyFill="1" applyBorder="1" applyAlignment="1">
      <alignment horizontal="center" vertical="center"/>
      <protection/>
    </xf>
    <xf numFmtId="2" fontId="10" fillId="0" borderId="10" xfId="66" applyNumberFormat="1" applyFont="1" applyFill="1" applyBorder="1" applyAlignment="1">
      <alignment horizontal="center" vertical="center"/>
      <protection/>
    </xf>
    <xf numFmtId="2" fontId="13" fillId="0" borderId="10" xfId="66" applyNumberFormat="1" applyFont="1" applyBorder="1" applyAlignment="1">
      <alignment horizontal="right" vertical="center" wrapText="1"/>
      <protection/>
    </xf>
    <xf numFmtId="2" fontId="13" fillId="0" borderId="10" xfId="66" applyNumberFormat="1" applyFont="1" applyFill="1" applyBorder="1" applyAlignment="1">
      <alignment vertical="center"/>
      <protection/>
    </xf>
    <xf numFmtId="0" fontId="10" fillId="0" borderId="11" xfId="66" applyNumberFormat="1" applyFont="1" applyFill="1" applyBorder="1" applyAlignment="1">
      <alignment horizontal="center" vertical="center"/>
      <protection/>
    </xf>
    <xf numFmtId="0" fontId="1" fillId="0" borderId="11" xfId="66" applyNumberFormat="1" applyFont="1" applyFill="1" applyBorder="1" applyAlignment="1">
      <alignment vertical="center"/>
      <protection/>
    </xf>
    <xf numFmtId="0" fontId="5" fillId="0" borderId="10" xfId="66" applyNumberFormat="1" applyFont="1" applyFill="1" applyBorder="1" applyAlignment="1">
      <alignment horizontal="centerContinuous" vertical="center"/>
      <protection/>
    </xf>
    <xf numFmtId="0" fontId="8" fillId="0" borderId="10" xfId="66" applyNumberFormat="1" applyFont="1" applyFill="1" applyBorder="1" applyAlignment="1">
      <alignment vertical="center"/>
      <protection/>
    </xf>
    <xf numFmtId="43" fontId="8" fillId="0" borderId="10" xfId="44" applyFont="1" applyFill="1" applyBorder="1" applyAlignment="1">
      <alignment horizontal="left" vertical="center"/>
    </xf>
    <xf numFmtId="0" fontId="1" fillId="0" borderId="10" xfId="66" applyNumberFormat="1" applyFont="1" applyFill="1" applyBorder="1" applyAlignment="1">
      <alignment horizontal="right" vertical="center"/>
      <protection/>
    </xf>
    <xf numFmtId="2" fontId="13" fillId="0" borderId="10" xfId="66" applyNumberFormat="1" applyFont="1" applyFill="1" applyBorder="1" applyAlignment="1">
      <alignment horizontal="center" vertical="center"/>
      <protection/>
    </xf>
    <xf numFmtId="1" fontId="13" fillId="0" borderId="10" xfId="0" applyNumberFormat="1" applyFont="1" applyBorder="1" applyAlignment="1">
      <alignment vertical="center"/>
    </xf>
    <xf numFmtId="183" fontId="30" fillId="0" borderId="10" xfId="44" applyNumberFormat="1" applyFont="1" applyFill="1" applyBorder="1" applyAlignment="1">
      <alignment horizontal="right" vertical="center"/>
    </xf>
    <xf numFmtId="43" fontId="30" fillId="0" borderId="0" xfId="66" applyNumberFormat="1" applyFont="1" applyAlignment="1">
      <alignment vertical="center"/>
      <protection/>
    </xf>
    <xf numFmtId="2" fontId="30" fillId="0" borderId="10" xfId="66" applyNumberFormat="1" applyFont="1" applyBorder="1">
      <alignment/>
      <protection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3" fontId="13" fillId="0" borderId="0" xfId="42" applyFont="1" applyAlignment="1">
      <alignment horizontal="left" vertical="center" wrapText="1"/>
    </xf>
    <xf numFmtId="43" fontId="13" fillId="0" borderId="0" xfId="42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2" fillId="0" borderId="10" xfId="66" applyFont="1" applyBorder="1" applyAlignment="1">
      <alignment horizontal="center" vertical="center"/>
      <protection/>
    </xf>
    <xf numFmtId="0" fontId="12" fillId="0" borderId="0" xfId="66" applyFont="1" applyAlignment="1">
      <alignment horizontal="center" vertical="center"/>
      <protection/>
    </xf>
    <xf numFmtId="0" fontId="12" fillId="0" borderId="10" xfId="66" applyFont="1" applyFill="1" applyBorder="1" applyAlignment="1">
      <alignment horizontal="center" vertical="center"/>
      <protection/>
    </xf>
    <xf numFmtId="43" fontId="12" fillId="0" borderId="10" xfId="44" applyFont="1" applyFill="1" applyBorder="1" applyAlignment="1">
      <alignment horizontal="left" vertical="center" wrapText="1"/>
    </xf>
    <xf numFmtId="43" fontId="12" fillId="0" borderId="10" xfId="44" applyFont="1" applyBorder="1" applyAlignment="1">
      <alignment horizontal="left" vertical="center" wrapText="1"/>
    </xf>
    <xf numFmtId="0" fontId="12" fillId="0" borderId="10" xfId="66" applyFont="1" applyFill="1" applyBorder="1" applyAlignment="1">
      <alignment horizontal="center" vertical="center" wrapText="1"/>
      <protection/>
    </xf>
    <xf numFmtId="0" fontId="2" fillId="0" borderId="10" xfId="66" applyFont="1" applyBorder="1" applyAlignment="1">
      <alignment horizontal="center" vertical="top" wrapText="1"/>
      <protection/>
    </xf>
    <xf numFmtId="0" fontId="2" fillId="0" borderId="10" xfId="66" applyFont="1" applyBorder="1" applyAlignment="1">
      <alignment horizontal="center" wrapText="1"/>
      <protection/>
    </xf>
    <xf numFmtId="10" fontId="30" fillId="0" borderId="15" xfId="77" applyNumberFormat="1" applyFont="1" applyFill="1" applyBorder="1" applyAlignment="1">
      <alignment horizontal="center" vertical="center"/>
    </xf>
    <xf numFmtId="10" fontId="30" fillId="0" borderId="12" xfId="77" applyNumberFormat="1" applyFont="1" applyFill="1" applyBorder="1" applyAlignment="1">
      <alignment horizontal="center" vertical="center"/>
    </xf>
    <xf numFmtId="0" fontId="13" fillId="0" borderId="15" xfId="66" applyFont="1" applyFill="1" applyBorder="1" applyAlignment="1">
      <alignment horizontal="center" vertical="center" wrapText="1"/>
      <protection/>
    </xf>
    <xf numFmtId="0" fontId="13" fillId="0" borderId="12" xfId="66" applyFont="1" applyFill="1" applyBorder="1" applyAlignment="1">
      <alignment horizontal="center" vertical="center" wrapText="1"/>
      <protection/>
    </xf>
    <xf numFmtId="0" fontId="1" fillId="0" borderId="10" xfId="66" applyFont="1" applyFill="1" applyBorder="1" applyAlignment="1">
      <alignment horizontal="center" vertical="center" wrapText="1"/>
      <protection/>
    </xf>
    <xf numFmtId="0" fontId="37" fillId="37" borderId="11" xfId="66" applyNumberFormat="1" applyFont="1" applyFill="1" applyBorder="1" applyAlignment="1">
      <alignment horizontal="left" vertical="center"/>
      <protection/>
    </xf>
    <xf numFmtId="0" fontId="37" fillId="37" borderId="13" xfId="66" applyNumberFormat="1" applyFont="1" applyFill="1" applyBorder="1" applyAlignment="1">
      <alignment horizontal="left" vertical="center"/>
      <protection/>
    </xf>
    <xf numFmtId="0" fontId="1" fillId="0" borderId="15" xfId="66" applyFont="1" applyFill="1" applyBorder="1" applyAlignment="1">
      <alignment horizontal="center" vertical="center" wrapText="1"/>
      <protection/>
    </xf>
    <xf numFmtId="0" fontId="1" fillId="0" borderId="12" xfId="66" applyFont="1" applyFill="1" applyBorder="1" applyAlignment="1">
      <alignment horizontal="center" vertical="center" wrapText="1"/>
      <protection/>
    </xf>
    <xf numFmtId="0" fontId="43" fillId="0" borderId="10" xfId="66" applyNumberFormat="1" applyFont="1" applyFill="1" applyBorder="1" applyAlignment="1">
      <alignment horizontal="left" vertical="center"/>
      <protection/>
    </xf>
    <xf numFmtId="43" fontId="30" fillId="0" borderId="15" xfId="44" applyNumberFormat="1" applyFont="1" applyBorder="1" applyAlignment="1">
      <alignment horizontal="center" vertical="center"/>
    </xf>
    <xf numFmtId="43" fontId="30" fillId="0" borderId="12" xfId="44" applyNumberFormat="1" applyFont="1" applyBorder="1" applyAlignment="1">
      <alignment horizontal="center" vertical="center"/>
    </xf>
    <xf numFmtId="43" fontId="30" fillId="0" borderId="15" xfId="44" applyNumberFormat="1" applyFont="1" applyFill="1" applyBorder="1" applyAlignment="1">
      <alignment horizontal="center" vertical="center"/>
    </xf>
    <xf numFmtId="43" fontId="30" fillId="0" borderId="12" xfId="44" applyNumberFormat="1" applyFont="1" applyFill="1" applyBorder="1" applyAlignment="1">
      <alignment horizontal="center" vertical="center"/>
    </xf>
    <xf numFmtId="2" fontId="30" fillId="0" borderId="15" xfId="66" applyNumberFormat="1" applyFont="1" applyFill="1" applyBorder="1" applyAlignment="1">
      <alignment horizontal="center" vertical="center"/>
      <protection/>
    </xf>
    <xf numFmtId="2" fontId="30" fillId="0" borderId="12" xfId="66" applyNumberFormat="1" applyFont="1" applyFill="1" applyBorder="1" applyAlignment="1">
      <alignment horizontal="center" vertical="center"/>
      <protection/>
    </xf>
    <xf numFmtId="0" fontId="42" fillId="0" borderId="10" xfId="66" applyNumberFormat="1" applyFont="1" applyFill="1" applyBorder="1" applyAlignment="1">
      <alignment horizontal="right" vertical="center"/>
      <protection/>
    </xf>
    <xf numFmtId="0" fontId="30" fillId="37" borderId="13" xfId="66" applyFont="1" applyFill="1" applyBorder="1" applyAlignment="1">
      <alignment horizontal="right" vertical="center"/>
      <protection/>
    </xf>
    <xf numFmtId="0" fontId="30" fillId="37" borderId="14" xfId="66" applyFont="1" applyFill="1" applyBorder="1" applyAlignment="1">
      <alignment horizontal="right" vertical="center"/>
      <protection/>
    </xf>
    <xf numFmtId="0" fontId="17" fillId="0" borderId="10" xfId="66" applyFont="1" applyBorder="1" applyAlignment="1">
      <alignment horizontal="right" vertical="center"/>
      <protection/>
    </xf>
    <xf numFmtId="0" fontId="17" fillId="37" borderId="13" xfId="66" applyFont="1" applyFill="1" applyBorder="1" applyAlignment="1">
      <alignment horizontal="right" vertical="center"/>
      <protection/>
    </xf>
    <xf numFmtId="0" fontId="17" fillId="37" borderId="14" xfId="66" applyFont="1" applyFill="1" applyBorder="1" applyAlignment="1">
      <alignment horizontal="right" vertical="center"/>
      <protection/>
    </xf>
    <xf numFmtId="2" fontId="10" fillId="0" borderId="11" xfId="66" applyNumberFormat="1" applyFont="1" applyFill="1" applyBorder="1" applyAlignment="1">
      <alignment horizontal="center" vertical="center"/>
      <protection/>
    </xf>
    <xf numFmtId="2" fontId="10" fillId="0" borderId="14" xfId="66" applyNumberFormat="1" applyFont="1" applyFill="1" applyBorder="1" applyAlignment="1">
      <alignment horizontal="center" vertical="center"/>
      <protection/>
    </xf>
    <xf numFmtId="0" fontId="19" fillId="0" borderId="10" xfId="66" applyNumberFormat="1" applyFont="1" applyFill="1" applyBorder="1" applyAlignment="1">
      <alignment horizontal="center" vertical="center" wrapText="1"/>
      <protection/>
    </xf>
    <xf numFmtId="0" fontId="1" fillId="0" borderId="10" xfId="66" applyFont="1" applyBorder="1" applyAlignment="1">
      <alignment horizontal="center" vertical="center" wrapText="1"/>
      <protection/>
    </xf>
    <xf numFmtId="0" fontId="10" fillId="0" borderId="10" xfId="66" applyNumberFormat="1" applyFont="1" applyFill="1" applyBorder="1" applyAlignment="1">
      <alignment horizontal="center" vertical="center"/>
      <protection/>
    </xf>
    <xf numFmtId="0" fontId="1" fillId="0" borderId="10" xfId="66" applyFont="1" applyBorder="1" applyAlignment="1">
      <alignment vertical="center"/>
      <protection/>
    </xf>
    <xf numFmtId="2" fontId="22" fillId="0" borderId="11" xfId="66" applyNumberFormat="1" applyFont="1" applyFill="1" applyBorder="1" applyAlignment="1">
      <alignment horizontal="center" vertical="center"/>
      <protection/>
    </xf>
    <xf numFmtId="2" fontId="22" fillId="0" borderId="14" xfId="66" applyNumberFormat="1" applyFont="1" applyFill="1" applyBorder="1" applyAlignment="1">
      <alignment horizontal="center" vertical="center"/>
      <protection/>
    </xf>
    <xf numFmtId="0" fontId="1" fillId="0" borderId="11" xfId="66" applyNumberFormat="1" applyFont="1" applyFill="1" applyBorder="1" applyAlignment="1">
      <alignment horizontal="center" vertical="center"/>
      <protection/>
    </xf>
    <xf numFmtId="0" fontId="1" fillId="0" borderId="14" xfId="66" applyNumberFormat="1" applyFont="1" applyFill="1" applyBorder="1" applyAlignment="1">
      <alignment horizontal="center" vertical="center"/>
      <protection/>
    </xf>
    <xf numFmtId="0" fontId="22" fillId="0" borderId="11" xfId="66" applyNumberFormat="1" applyFont="1" applyFill="1" applyBorder="1" applyAlignment="1">
      <alignment horizontal="center" vertical="center"/>
      <protection/>
    </xf>
    <xf numFmtId="0" fontId="22" fillId="0" borderId="14" xfId="66" applyNumberFormat="1" applyFont="1" applyFill="1" applyBorder="1" applyAlignment="1">
      <alignment horizontal="center" vertical="center"/>
      <protection/>
    </xf>
    <xf numFmtId="0" fontId="13" fillId="0" borderId="11" xfId="66" applyNumberFormat="1" applyFont="1" applyFill="1" applyBorder="1" applyAlignment="1">
      <alignment horizontal="center" vertical="center"/>
      <protection/>
    </xf>
    <xf numFmtId="0" fontId="13" fillId="0" borderId="14" xfId="66" applyNumberFormat="1" applyFont="1" applyFill="1" applyBorder="1" applyAlignment="1">
      <alignment horizontal="center" vertical="center"/>
      <protection/>
    </xf>
    <xf numFmtId="0" fontId="13" fillId="0" borderId="10" xfId="66" applyFont="1" applyBorder="1" applyAlignment="1">
      <alignment vertical="center"/>
      <protection/>
    </xf>
    <xf numFmtId="0" fontId="21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5" fontId="13" fillId="0" borderId="0" xfId="66" applyNumberFormat="1" applyFont="1" applyFill="1" applyBorder="1" applyAlignment="1">
      <alignment horizontal="left" vertical="center" wrapText="1"/>
      <protection/>
    </xf>
    <xf numFmtId="0" fontId="13" fillId="0" borderId="0" xfId="66" applyFont="1" applyBorder="1" applyAlignment="1">
      <alignment horizontal="left" vertical="center" wrapText="1"/>
      <protection/>
    </xf>
    <xf numFmtId="15" fontId="23" fillId="0" borderId="0" xfId="66" applyNumberFormat="1" applyFont="1" applyFill="1" applyBorder="1" applyAlignment="1">
      <alignment horizontal="left" vertical="center" wrapText="1"/>
      <protection/>
    </xf>
    <xf numFmtId="0" fontId="23" fillId="0" borderId="0" xfId="66" applyFont="1" applyBorder="1" applyAlignment="1">
      <alignment horizontal="left" vertical="center" wrapText="1"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_TRT -1(11-12)" xfId="48"/>
    <cellStyle name="Comma_TRT -1(11-12) 2" xfId="49"/>
    <cellStyle name="Currency" xfId="50"/>
    <cellStyle name="Currency [0]" xfId="51"/>
    <cellStyle name="date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Hyperlink 2" xfId="61"/>
    <cellStyle name="Hyperlink 3" xfId="62"/>
    <cellStyle name="Input" xfId="63"/>
    <cellStyle name="Linked Cell" xfId="64"/>
    <cellStyle name="Neutral" xfId="65"/>
    <cellStyle name="Normal 2" xfId="66"/>
    <cellStyle name="Note" xfId="67"/>
    <cellStyle name="Output" xfId="68"/>
    <cellStyle name="Percent" xfId="69"/>
    <cellStyle name="Percent [0]" xfId="70"/>
    <cellStyle name="Percent [00]" xfId="71"/>
    <cellStyle name="Percent [00] 2" xfId="72"/>
    <cellStyle name="Percent [00] 3" xfId="73"/>
    <cellStyle name="Percent [00] 4" xfId="74"/>
    <cellStyle name="Percent [00] 5" xfId="75"/>
    <cellStyle name="Percent [00]_#6 Temps &amp; Contractors" xfId="76"/>
    <cellStyle name="Percent 2" xfId="77"/>
    <cellStyle name="Percent 2 2" xfId="78"/>
    <cellStyle name="Percent 3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RR%20TIKI\ARR%20FY%202014-15\GRIDCO%20TRT%20FY14-15%20Format-final-30.11.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T-9(A)13-14"/>
      <sheetName val="TRT- 27 for FY 2013-14"/>
      <sheetName val="TRT-9A-OPGC-13-14"/>
      <sheetName val="TRT-9 TTPS-13-14"/>
      <sheetName val="ARR13-14 TRT-12"/>
      <sheetName val="ARR -13-14TRT-11"/>
      <sheetName val="ARR-13-14TRT-10"/>
      <sheetName val="ARR13-14TRT-24"/>
      <sheetName val="ARR13-14TRT-23"/>
      <sheetName val="ARR13-14TRT-17(PY&amp;CY)"/>
      <sheetName val="ARR13-14 TRT-14"/>
      <sheetName val="ARR13-14TRT-19(PY&amp;CY)"/>
      <sheetName val="TRT-15 13-14"/>
      <sheetName val="ARR-13-14TRT-13"/>
      <sheetName val="ARR-BST14-15 TRT-1"/>
      <sheetName val="ARR13-14TRT-22(PY,CY&amp;EY)"/>
      <sheetName val="ARR13-14TRT-21(PY,CY&amp;EY)"/>
      <sheetName val="Sheet1"/>
    </sheetNames>
    <sheetDataSet>
      <sheetData sheetId="16">
        <row r="105">
          <cell r="F105">
            <v>0</v>
          </cell>
        </row>
        <row r="202">
          <cell r="B202" t="str">
            <v>SLDC UI Underdrawl</v>
          </cell>
        </row>
        <row r="203">
          <cell r="B203" t="str">
            <v>Trading</v>
          </cell>
        </row>
        <row r="218">
          <cell r="C218">
            <v>262.5</v>
          </cell>
        </row>
        <row r="223">
          <cell r="E223">
            <v>368</v>
          </cell>
        </row>
        <row r="224">
          <cell r="E224">
            <v>368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5.28125" style="15" customWidth="1"/>
    <col min="2" max="2" width="10.8515625" style="14" customWidth="1"/>
    <col min="3" max="3" width="59.57421875" style="14" customWidth="1"/>
    <col min="4" max="4" width="9.00390625" style="14" customWidth="1"/>
    <col min="5" max="5" width="2.57421875" style="79" customWidth="1"/>
    <col min="6" max="6" width="46.8515625" style="78" customWidth="1"/>
    <col min="7" max="7" width="11.421875" style="15" customWidth="1"/>
    <col min="8" max="8" width="7.8515625" style="15" customWidth="1"/>
    <col min="9" max="16384" width="9.140625" style="14" customWidth="1"/>
  </cols>
  <sheetData>
    <row r="1" spans="1:8" ht="15.75">
      <c r="A1" s="593" t="s">
        <v>558</v>
      </c>
      <c r="B1" s="593"/>
      <c r="C1" s="593"/>
      <c r="D1" s="593"/>
      <c r="E1" s="593"/>
      <c r="F1" s="593"/>
      <c r="G1" s="593"/>
      <c r="H1" s="593"/>
    </row>
    <row r="2" spans="2:5" ht="15">
      <c r="B2" s="76"/>
      <c r="C2" s="76"/>
      <c r="D2" s="76"/>
      <c r="E2" s="77"/>
    </row>
    <row r="3" spans="1:8" s="99" customFormat="1" ht="18">
      <c r="A3" s="97"/>
      <c r="B3" s="590" t="s">
        <v>535</v>
      </c>
      <c r="C3" s="590"/>
      <c r="D3" s="590"/>
      <c r="E3" s="98"/>
      <c r="F3" s="590" t="s">
        <v>536</v>
      </c>
      <c r="G3" s="590"/>
      <c r="H3" s="590"/>
    </row>
    <row r="4" spans="1:8" s="94" customFormat="1" ht="33" customHeight="1">
      <c r="A4" s="594" t="s">
        <v>60</v>
      </c>
      <c r="B4" s="594"/>
      <c r="C4" s="68" t="s">
        <v>61</v>
      </c>
      <c r="D4" s="68" t="s">
        <v>62</v>
      </c>
      <c r="E4" s="92"/>
      <c r="F4" s="93" t="s">
        <v>538</v>
      </c>
      <c r="G4" s="68" t="s">
        <v>537</v>
      </c>
      <c r="H4" s="68" t="s">
        <v>62</v>
      </c>
    </row>
    <row r="5" spans="1:2" ht="21.75" customHeight="1">
      <c r="A5" s="75">
        <v>1</v>
      </c>
      <c r="B5" s="58" t="s">
        <v>63</v>
      </c>
    </row>
    <row r="6" spans="2:8" ht="21.75" customHeight="1">
      <c r="B6" s="15" t="s">
        <v>65</v>
      </c>
      <c r="C6" s="80" t="s">
        <v>66</v>
      </c>
      <c r="D6" s="81" t="s">
        <v>67</v>
      </c>
      <c r="E6" s="82"/>
      <c r="F6" s="78" t="s">
        <v>539</v>
      </c>
      <c r="G6" s="15" t="s">
        <v>65</v>
      </c>
      <c r="H6" s="83" t="s">
        <v>555</v>
      </c>
    </row>
    <row r="7" spans="2:8" ht="21.75" customHeight="1">
      <c r="B7" s="15" t="s">
        <v>69</v>
      </c>
      <c r="C7" s="80" t="s">
        <v>70</v>
      </c>
      <c r="D7" s="81" t="s">
        <v>71</v>
      </c>
      <c r="E7" s="82"/>
      <c r="F7" s="78" t="s">
        <v>540</v>
      </c>
      <c r="G7" s="15" t="s">
        <v>69</v>
      </c>
      <c r="H7" s="15">
        <v>4</v>
      </c>
    </row>
    <row r="8" spans="2:7" ht="21.75" customHeight="1">
      <c r="B8" s="15" t="s">
        <v>73</v>
      </c>
      <c r="C8" s="80" t="s">
        <v>74</v>
      </c>
      <c r="D8" s="81" t="s">
        <v>442</v>
      </c>
      <c r="E8" s="82"/>
      <c r="F8" s="78" t="s">
        <v>541</v>
      </c>
      <c r="G8" s="15" t="s">
        <v>542</v>
      </c>
    </row>
    <row r="9" spans="2:8" ht="21.75" customHeight="1">
      <c r="B9" s="15" t="s">
        <v>76</v>
      </c>
      <c r="C9" s="80" t="s">
        <v>77</v>
      </c>
      <c r="D9" s="81" t="s">
        <v>443</v>
      </c>
      <c r="E9" s="82"/>
      <c r="F9" s="78" t="s">
        <v>539</v>
      </c>
      <c r="G9" s="15" t="s">
        <v>73</v>
      </c>
      <c r="H9" s="15">
        <v>5</v>
      </c>
    </row>
    <row r="10" spans="2:8" ht="21.75" customHeight="1">
      <c r="B10" s="15" t="s">
        <v>79</v>
      </c>
      <c r="C10" s="80" t="s">
        <v>80</v>
      </c>
      <c r="D10" s="81" t="s">
        <v>444</v>
      </c>
      <c r="E10" s="82"/>
      <c r="F10" s="78" t="s">
        <v>539</v>
      </c>
      <c r="G10" s="15" t="s">
        <v>76</v>
      </c>
      <c r="H10" s="15">
        <v>6</v>
      </c>
    </row>
    <row r="11" spans="2:8" ht="21.75" customHeight="1">
      <c r="B11" s="15" t="s">
        <v>82</v>
      </c>
      <c r="C11" s="80" t="s">
        <v>83</v>
      </c>
      <c r="D11" s="81" t="s">
        <v>445</v>
      </c>
      <c r="E11" s="82"/>
      <c r="F11" s="591" t="s">
        <v>543</v>
      </c>
      <c r="G11" s="589" t="s">
        <v>542</v>
      </c>
      <c r="H11" s="589"/>
    </row>
    <row r="12" spans="2:8" ht="21.75" customHeight="1">
      <c r="B12" s="15" t="s">
        <v>85</v>
      </c>
      <c r="C12" s="80" t="s">
        <v>86</v>
      </c>
      <c r="D12" s="81" t="s">
        <v>446</v>
      </c>
      <c r="E12" s="82"/>
      <c r="F12" s="591"/>
      <c r="G12" s="589"/>
      <c r="H12" s="589"/>
    </row>
    <row r="13" spans="2:8" ht="21.75" customHeight="1">
      <c r="B13" s="15" t="s">
        <v>88</v>
      </c>
      <c r="C13" s="14" t="s">
        <v>89</v>
      </c>
      <c r="D13" s="81" t="s">
        <v>447</v>
      </c>
      <c r="E13" s="82"/>
      <c r="F13" s="591"/>
      <c r="G13" s="589"/>
      <c r="H13" s="589"/>
    </row>
    <row r="14" spans="2:8" ht="44.25" customHeight="1">
      <c r="B14" s="15" t="s">
        <v>91</v>
      </c>
      <c r="C14" s="80" t="s">
        <v>92</v>
      </c>
      <c r="D14" s="81" t="s">
        <v>93</v>
      </c>
      <c r="E14" s="82"/>
      <c r="F14" s="84" t="s">
        <v>546</v>
      </c>
      <c r="G14" s="85" t="s">
        <v>545</v>
      </c>
      <c r="H14" s="15" t="s">
        <v>556</v>
      </c>
    </row>
    <row r="15" spans="2:8" ht="18" customHeight="1">
      <c r="B15" s="15" t="s">
        <v>95</v>
      </c>
      <c r="C15" s="80" t="s">
        <v>96</v>
      </c>
      <c r="D15" s="81" t="s">
        <v>97</v>
      </c>
      <c r="E15" s="82"/>
      <c r="F15" s="592" t="s">
        <v>544</v>
      </c>
      <c r="G15" s="589" t="s">
        <v>79</v>
      </c>
      <c r="H15" s="589">
        <v>7</v>
      </c>
    </row>
    <row r="16" spans="2:8" ht="18" customHeight="1">
      <c r="B16" s="15" t="s">
        <v>99</v>
      </c>
      <c r="C16" s="80" t="s">
        <v>100</v>
      </c>
      <c r="D16" s="81" t="s">
        <v>101</v>
      </c>
      <c r="E16" s="82"/>
      <c r="F16" s="592"/>
      <c r="G16" s="589"/>
      <c r="H16" s="589"/>
    </row>
    <row r="17" spans="2:8" ht="18" customHeight="1">
      <c r="B17" s="15" t="s">
        <v>103</v>
      </c>
      <c r="C17" s="80" t="s">
        <v>104</v>
      </c>
      <c r="D17" s="81" t="s">
        <v>105</v>
      </c>
      <c r="E17" s="82"/>
      <c r="F17" s="592"/>
      <c r="G17" s="589"/>
      <c r="H17" s="589"/>
    </row>
    <row r="18" spans="2:8" ht="35.25" customHeight="1">
      <c r="B18" s="15" t="s">
        <v>107</v>
      </c>
      <c r="C18" s="80" t="s">
        <v>108</v>
      </c>
      <c r="D18" s="81" t="s">
        <v>109</v>
      </c>
      <c r="E18" s="82"/>
      <c r="F18" s="84" t="s">
        <v>547</v>
      </c>
      <c r="G18" s="15" t="s">
        <v>88</v>
      </c>
      <c r="H18" s="15">
        <v>10</v>
      </c>
    </row>
    <row r="19" spans="2:8" ht="34.5" customHeight="1">
      <c r="B19" s="15" t="s">
        <v>111</v>
      </c>
      <c r="C19" s="80" t="s">
        <v>112</v>
      </c>
      <c r="D19" s="81" t="s">
        <v>113</v>
      </c>
      <c r="E19" s="82"/>
      <c r="F19" s="84" t="s">
        <v>548</v>
      </c>
      <c r="G19" s="15" t="s">
        <v>85</v>
      </c>
      <c r="H19" s="15">
        <v>9</v>
      </c>
    </row>
    <row r="20" spans="2:8" ht="33" customHeight="1">
      <c r="B20" s="15" t="s">
        <v>115</v>
      </c>
      <c r="C20" s="80" t="s">
        <v>116</v>
      </c>
      <c r="D20" s="81" t="s">
        <v>117</v>
      </c>
      <c r="E20" s="82"/>
      <c r="F20" s="84" t="s">
        <v>549</v>
      </c>
      <c r="G20" s="15" t="s">
        <v>95</v>
      </c>
      <c r="H20" s="15">
        <v>12</v>
      </c>
    </row>
    <row r="21" spans="2:8" ht="21.75" customHeight="1">
      <c r="B21" s="15" t="s">
        <v>119</v>
      </c>
      <c r="C21" s="16" t="s">
        <v>120</v>
      </c>
      <c r="D21" s="81" t="s">
        <v>121</v>
      </c>
      <c r="E21" s="82"/>
      <c r="F21" s="78" t="s">
        <v>539</v>
      </c>
      <c r="G21" s="85" t="s">
        <v>550</v>
      </c>
      <c r="H21" s="15" t="s">
        <v>557</v>
      </c>
    </row>
    <row r="22" spans="2:8" ht="27" customHeight="1">
      <c r="B22" s="15" t="s">
        <v>123</v>
      </c>
      <c r="C22" s="86" t="s">
        <v>124</v>
      </c>
      <c r="D22" s="81" t="s">
        <v>125</v>
      </c>
      <c r="E22" s="82"/>
      <c r="F22" s="78" t="s">
        <v>539</v>
      </c>
      <c r="G22" s="15" t="s">
        <v>107</v>
      </c>
      <c r="H22" s="15">
        <v>15</v>
      </c>
    </row>
    <row r="23" spans="2:8" ht="21.75" customHeight="1">
      <c r="B23" s="15" t="s">
        <v>127</v>
      </c>
      <c r="C23" s="80" t="s">
        <v>128</v>
      </c>
      <c r="D23" s="81" t="s">
        <v>129</v>
      </c>
      <c r="E23" s="82"/>
      <c r="F23" s="592" t="s">
        <v>544</v>
      </c>
      <c r="G23" s="589" t="s">
        <v>111</v>
      </c>
      <c r="H23" s="589">
        <f>H22+1</f>
        <v>16</v>
      </c>
    </row>
    <row r="24" spans="1:8" s="105" customFormat="1" ht="21.75" customHeight="1">
      <c r="A24" s="101"/>
      <c r="B24" s="101" t="s">
        <v>131</v>
      </c>
      <c r="C24" s="102" t="s">
        <v>560</v>
      </c>
      <c r="D24" s="103" t="s">
        <v>133</v>
      </c>
      <c r="E24" s="104"/>
      <c r="F24" s="592"/>
      <c r="G24" s="589"/>
      <c r="H24" s="589"/>
    </row>
    <row r="25" spans="2:8" ht="18" customHeight="1">
      <c r="B25" s="15" t="s">
        <v>135</v>
      </c>
      <c r="C25" s="14" t="s">
        <v>136</v>
      </c>
      <c r="D25" s="81" t="s">
        <v>137</v>
      </c>
      <c r="E25" s="82"/>
      <c r="F25" s="592" t="s">
        <v>544</v>
      </c>
      <c r="G25" s="589" t="s">
        <v>115</v>
      </c>
      <c r="H25" s="589">
        <v>17</v>
      </c>
    </row>
    <row r="26" spans="2:8" ht="18" customHeight="1">
      <c r="B26" s="15" t="s">
        <v>139</v>
      </c>
      <c r="C26" s="14" t="s">
        <v>140</v>
      </c>
      <c r="D26" s="81" t="s">
        <v>141</v>
      </c>
      <c r="E26" s="82"/>
      <c r="F26" s="592"/>
      <c r="G26" s="589"/>
      <c r="H26" s="589"/>
    </row>
    <row r="27" spans="2:13" ht="18" customHeight="1">
      <c r="B27" s="15" t="s">
        <v>143</v>
      </c>
      <c r="C27" s="80" t="s">
        <v>144</v>
      </c>
      <c r="D27" s="81" t="s">
        <v>145</v>
      </c>
      <c r="E27" s="82"/>
      <c r="F27" s="592"/>
      <c r="G27" s="589"/>
      <c r="H27" s="589"/>
      <c r="I27" s="16"/>
      <c r="J27" s="16"/>
      <c r="K27" s="16"/>
      <c r="L27" s="16"/>
      <c r="M27" s="16"/>
    </row>
    <row r="28" spans="2:8" ht="21.75" customHeight="1">
      <c r="B28" s="15" t="s">
        <v>147</v>
      </c>
      <c r="C28" s="80" t="s">
        <v>148</v>
      </c>
      <c r="D28" s="81" t="s">
        <v>149</v>
      </c>
      <c r="E28" s="82"/>
      <c r="F28" s="78" t="s">
        <v>539</v>
      </c>
      <c r="G28" s="15" t="s">
        <v>119</v>
      </c>
      <c r="H28" s="15">
        <v>18</v>
      </c>
    </row>
    <row r="29" spans="2:8" ht="21.75" customHeight="1">
      <c r="B29" s="15" t="s">
        <v>151</v>
      </c>
      <c r="C29" s="80" t="s">
        <v>152</v>
      </c>
      <c r="D29" s="81" t="s">
        <v>153</v>
      </c>
      <c r="E29" s="82"/>
      <c r="F29" s="78" t="s">
        <v>539</v>
      </c>
      <c r="G29" s="15" t="s">
        <v>123</v>
      </c>
      <c r="H29" s="15">
        <f>H28+1</f>
        <v>19</v>
      </c>
    </row>
    <row r="30" spans="2:8" ht="21.75" customHeight="1">
      <c r="B30" s="15" t="s">
        <v>551</v>
      </c>
      <c r="C30" s="80" t="s">
        <v>553</v>
      </c>
      <c r="D30" s="81"/>
      <c r="E30" s="82"/>
      <c r="F30" s="78" t="s">
        <v>540</v>
      </c>
      <c r="G30" s="15" t="s">
        <v>127</v>
      </c>
      <c r="H30" s="15">
        <f>H29+1</f>
        <v>20</v>
      </c>
    </row>
    <row r="31" spans="2:8" ht="21.75" customHeight="1">
      <c r="B31" s="15" t="s">
        <v>552</v>
      </c>
      <c r="C31" s="80" t="s">
        <v>554</v>
      </c>
      <c r="D31" s="81"/>
      <c r="E31" s="82"/>
      <c r="F31" s="78" t="s">
        <v>540</v>
      </c>
      <c r="G31" s="15" t="s">
        <v>131</v>
      </c>
      <c r="H31" s="15">
        <f>H30+1</f>
        <v>21</v>
      </c>
    </row>
    <row r="32" spans="2:5" ht="21.75" customHeight="1">
      <c r="B32" s="15"/>
      <c r="C32" s="80"/>
      <c r="D32" s="81"/>
      <c r="E32" s="82"/>
    </row>
    <row r="33" spans="1:8" s="61" customFormat="1" ht="12.75">
      <c r="A33" s="59">
        <v>2</v>
      </c>
      <c r="B33" s="71" t="s">
        <v>154</v>
      </c>
      <c r="D33" s="69"/>
      <c r="E33" s="74"/>
      <c r="F33" s="62"/>
      <c r="H33" s="73"/>
    </row>
    <row r="34" spans="1:8" s="61" customFormat="1" ht="12.75">
      <c r="A34" s="73"/>
      <c r="B34" s="73" t="s">
        <v>156</v>
      </c>
      <c r="C34" s="70" t="s">
        <v>157</v>
      </c>
      <c r="D34" s="69" t="s">
        <v>158</v>
      </c>
      <c r="E34" s="74"/>
      <c r="F34" s="62"/>
      <c r="H34" s="73"/>
    </row>
    <row r="35" spans="1:8" s="61" customFormat="1" ht="12.75">
      <c r="A35" s="73"/>
      <c r="B35" s="73" t="s">
        <v>160</v>
      </c>
      <c r="C35" s="61" t="s">
        <v>161</v>
      </c>
      <c r="D35" s="69" t="s">
        <v>162</v>
      </c>
      <c r="E35" s="74"/>
      <c r="F35" s="62"/>
      <c r="G35" s="73"/>
      <c r="H35" s="73"/>
    </row>
    <row r="36" spans="1:8" s="61" customFormat="1" ht="12.75">
      <c r="A36" s="73"/>
      <c r="B36" s="73" t="s">
        <v>164</v>
      </c>
      <c r="C36" s="61" t="s">
        <v>165</v>
      </c>
      <c r="D36" s="69" t="s">
        <v>166</v>
      </c>
      <c r="E36" s="74"/>
      <c r="F36" s="62"/>
      <c r="G36" s="73"/>
      <c r="H36" s="73"/>
    </row>
    <row r="37" spans="1:8" s="61" customFormat="1" ht="12.75">
      <c r="A37" s="73"/>
      <c r="B37" s="73" t="s">
        <v>168</v>
      </c>
      <c r="C37" s="64" t="s">
        <v>169</v>
      </c>
      <c r="D37" s="69" t="s">
        <v>170</v>
      </c>
      <c r="E37" s="74"/>
      <c r="F37" s="62"/>
      <c r="G37" s="73"/>
      <c r="H37" s="73"/>
    </row>
    <row r="38" spans="1:8" s="61" customFormat="1" ht="12.75">
      <c r="A38" s="73"/>
      <c r="B38" s="73" t="s">
        <v>172</v>
      </c>
      <c r="C38" s="64" t="s">
        <v>173</v>
      </c>
      <c r="D38" s="69" t="s">
        <v>174</v>
      </c>
      <c r="E38" s="74"/>
      <c r="F38" s="62"/>
      <c r="G38" s="73"/>
      <c r="H38" s="73"/>
    </row>
    <row r="39" spans="1:8" s="61" customFormat="1" ht="12.75">
      <c r="A39" s="73"/>
      <c r="B39" s="73" t="s">
        <v>176</v>
      </c>
      <c r="C39" s="61" t="s">
        <v>177</v>
      </c>
      <c r="D39" s="69" t="s">
        <v>178</v>
      </c>
      <c r="E39" s="74"/>
      <c r="F39" s="62"/>
      <c r="G39" s="73"/>
      <c r="H39" s="73"/>
    </row>
    <row r="40" spans="1:8" s="61" customFormat="1" ht="12.75">
      <c r="A40" s="73"/>
      <c r="B40" s="73" t="s">
        <v>180</v>
      </c>
      <c r="C40" s="64" t="s">
        <v>181</v>
      </c>
      <c r="D40" s="95" t="s">
        <v>182</v>
      </c>
      <c r="E40" s="96"/>
      <c r="F40" s="62"/>
      <c r="G40" s="73"/>
      <c r="H40" s="73"/>
    </row>
    <row r="41" spans="1:8" s="61" customFormat="1" ht="25.5">
      <c r="A41" s="73"/>
      <c r="B41" s="73" t="s">
        <v>184</v>
      </c>
      <c r="C41" s="72" t="s">
        <v>185</v>
      </c>
      <c r="D41" s="69" t="s">
        <v>186</v>
      </c>
      <c r="E41" s="74"/>
      <c r="F41" s="62"/>
      <c r="G41" s="73"/>
      <c r="H41" s="73"/>
    </row>
    <row r="42" spans="1:8" s="61" customFormat="1" ht="12.75">
      <c r="A42" s="73"/>
      <c r="B42" s="73" t="s">
        <v>188</v>
      </c>
      <c r="C42" s="64" t="s">
        <v>189</v>
      </c>
      <c r="D42" s="69" t="s">
        <v>190</v>
      </c>
      <c r="E42" s="74"/>
      <c r="F42" s="62"/>
      <c r="G42" s="73"/>
      <c r="H42" s="73"/>
    </row>
    <row r="43" spans="1:8" s="61" customFormat="1" ht="12.75">
      <c r="A43" s="73"/>
      <c r="B43" s="73" t="s">
        <v>192</v>
      </c>
      <c r="C43" s="61" t="s">
        <v>193</v>
      </c>
      <c r="D43" s="69" t="s">
        <v>194</v>
      </c>
      <c r="E43" s="74"/>
      <c r="F43" s="62"/>
      <c r="G43" s="73"/>
      <c r="H43" s="73"/>
    </row>
    <row r="44" spans="1:8" s="61" customFormat="1" ht="12.75">
      <c r="A44" s="73"/>
      <c r="B44" s="73" t="s">
        <v>196</v>
      </c>
      <c r="C44" s="61" t="s">
        <v>197</v>
      </c>
      <c r="D44" s="69" t="s">
        <v>198</v>
      </c>
      <c r="E44" s="74"/>
      <c r="F44" s="62"/>
      <c r="G44" s="73"/>
      <c r="H44" s="73"/>
    </row>
    <row r="45" spans="1:8" s="61" customFormat="1" ht="12.75">
      <c r="A45" s="73"/>
      <c r="B45" s="73" t="s">
        <v>200</v>
      </c>
      <c r="C45" s="61" t="s">
        <v>201</v>
      </c>
      <c r="D45" s="69" t="s">
        <v>202</v>
      </c>
      <c r="E45" s="74"/>
      <c r="F45" s="62"/>
      <c r="G45" s="73"/>
      <c r="H45" s="73"/>
    </row>
    <row r="46" spans="1:8" s="61" customFormat="1" ht="12.75">
      <c r="A46" s="73"/>
      <c r="B46" s="73" t="s">
        <v>204</v>
      </c>
      <c r="C46" s="61" t="s">
        <v>205</v>
      </c>
      <c r="D46" s="69" t="s">
        <v>206</v>
      </c>
      <c r="E46" s="74"/>
      <c r="F46" s="62"/>
      <c r="G46" s="73"/>
      <c r="H46" s="73"/>
    </row>
    <row r="47" spans="1:8" s="61" customFormat="1" ht="12.75">
      <c r="A47" s="73"/>
      <c r="B47" s="73" t="s">
        <v>208</v>
      </c>
      <c r="C47" s="61" t="s">
        <v>209</v>
      </c>
      <c r="D47" s="69" t="s">
        <v>210</v>
      </c>
      <c r="E47" s="74"/>
      <c r="F47" s="62"/>
      <c r="G47" s="73"/>
      <c r="H47" s="73"/>
    </row>
    <row r="48" spans="1:8" s="61" customFormat="1" ht="12.75">
      <c r="A48" s="73"/>
      <c r="B48" s="73" t="s">
        <v>212</v>
      </c>
      <c r="C48" s="61" t="s">
        <v>213</v>
      </c>
      <c r="D48" s="69" t="s">
        <v>214</v>
      </c>
      <c r="E48" s="74"/>
      <c r="F48" s="62"/>
      <c r="G48" s="73"/>
      <c r="H48" s="73"/>
    </row>
    <row r="49" spans="1:8" s="61" customFormat="1" ht="12.75">
      <c r="A49" s="73"/>
      <c r="B49" s="73" t="s">
        <v>216</v>
      </c>
      <c r="C49" s="61" t="s">
        <v>217</v>
      </c>
      <c r="D49" s="69" t="s">
        <v>218</v>
      </c>
      <c r="E49" s="74"/>
      <c r="F49" s="62"/>
      <c r="G49" s="73"/>
      <c r="H49" s="73"/>
    </row>
    <row r="50" spans="1:8" s="61" customFormat="1" ht="12.75">
      <c r="A50" s="73"/>
      <c r="B50" s="73" t="s">
        <v>220</v>
      </c>
      <c r="C50" s="61" t="s">
        <v>221</v>
      </c>
      <c r="D50" s="69" t="s">
        <v>222</v>
      </c>
      <c r="E50" s="74"/>
      <c r="F50" s="62"/>
      <c r="G50" s="73"/>
      <c r="H50" s="73"/>
    </row>
    <row r="51" spans="1:8" s="61" customFormat="1" ht="12.75">
      <c r="A51" s="73"/>
      <c r="B51" s="73" t="s">
        <v>224</v>
      </c>
      <c r="C51" s="64" t="s">
        <v>225</v>
      </c>
      <c r="D51" s="69" t="s">
        <v>226</v>
      </c>
      <c r="E51" s="74"/>
      <c r="F51" s="62"/>
      <c r="G51" s="73"/>
      <c r="H51" s="73"/>
    </row>
    <row r="52" spans="1:8" s="61" customFormat="1" ht="12.75">
      <c r="A52" s="73"/>
      <c r="B52" s="73" t="s">
        <v>228</v>
      </c>
      <c r="C52" s="61" t="s">
        <v>229</v>
      </c>
      <c r="D52" s="69" t="s">
        <v>230</v>
      </c>
      <c r="E52" s="74"/>
      <c r="F52" s="62"/>
      <c r="G52" s="73"/>
      <c r="H52" s="73"/>
    </row>
    <row r="53" spans="1:8" s="61" customFormat="1" ht="25.5">
      <c r="A53" s="73"/>
      <c r="B53" s="73" t="s">
        <v>232</v>
      </c>
      <c r="C53" s="64" t="s">
        <v>233</v>
      </c>
      <c r="D53" s="69" t="s">
        <v>234</v>
      </c>
      <c r="E53" s="74"/>
      <c r="F53" s="62"/>
      <c r="G53" s="73"/>
      <c r="H53" s="73"/>
    </row>
    <row r="54" spans="1:8" s="61" customFormat="1" ht="12.75">
      <c r="A54" s="73"/>
      <c r="B54" s="73" t="s">
        <v>236</v>
      </c>
      <c r="C54" s="61" t="s">
        <v>237</v>
      </c>
      <c r="D54" s="69" t="s">
        <v>238</v>
      </c>
      <c r="E54" s="74"/>
      <c r="F54" s="62"/>
      <c r="G54" s="73"/>
      <c r="H54" s="73"/>
    </row>
    <row r="55" spans="1:8" s="61" customFormat="1" ht="12.75">
      <c r="A55" s="73"/>
      <c r="B55" s="73" t="s">
        <v>240</v>
      </c>
      <c r="C55" s="61" t="s">
        <v>241</v>
      </c>
      <c r="D55" s="69" t="s">
        <v>242</v>
      </c>
      <c r="E55" s="74"/>
      <c r="F55" s="62"/>
      <c r="G55" s="73"/>
      <c r="H55" s="73"/>
    </row>
    <row r="56" spans="1:8" s="61" customFormat="1" ht="12.75">
      <c r="A56" s="73"/>
      <c r="B56" s="73" t="s">
        <v>244</v>
      </c>
      <c r="C56" s="61" t="s">
        <v>245</v>
      </c>
      <c r="D56" s="69" t="s">
        <v>246</v>
      </c>
      <c r="E56" s="74"/>
      <c r="F56" s="62"/>
      <c r="G56" s="73"/>
      <c r="H56" s="73"/>
    </row>
    <row r="57" spans="1:8" s="61" customFormat="1" ht="12.75">
      <c r="A57" s="73"/>
      <c r="B57" s="73" t="s">
        <v>248</v>
      </c>
      <c r="C57" s="61" t="s">
        <v>249</v>
      </c>
      <c r="D57" s="69" t="s">
        <v>250</v>
      </c>
      <c r="E57" s="74"/>
      <c r="F57" s="62"/>
      <c r="G57" s="73"/>
      <c r="H57" s="73"/>
    </row>
    <row r="58" spans="1:8" s="61" customFormat="1" ht="12.75">
      <c r="A58" s="73"/>
      <c r="B58" s="73" t="s">
        <v>252</v>
      </c>
      <c r="C58" s="61" t="s">
        <v>253</v>
      </c>
      <c r="D58" s="69" t="s">
        <v>254</v>
      </c>
      <c r="E58" s="74"/>
      <c r="F58" s="62"/>
      <c r="G58" s="73"/>
      <c r="H58" s="73"/>
    </row>
    <row r="59" spans="1:8" s="61" customFormat="1" ht="12.75">
      <c r="A59" s="73"/>
      <c r="B59" s="73" t="s">
        <v>256</v>
      </c>
      <c r="C59" s="61" t="s">
        <v>257</v>
      </c>
      <c r="D59" s="69" t="s">
        <v>258</v>
      </c>
      <c r="E59" s="74"/>
      <c r="F59" s="62"/>
      <c r="G59" s="73"/>
      <c r="H59" s="73"/>
    </row>
    <row r="60" spans="1:8" s="61" customFormat="1" ht="12.75">
      <c r="A60" s="73"/>
      <c r="B60" s="73" t="s">
        <v>260</v>
      </c>
      <c r="C60" s="61" t="s">
        <v>261</v>
      </c>
      <c r="D60" s="69" t="s">
        <v>262</v>
      </c>
      <c r="E60" s="74"/>
      <c r="F60" s="62"/>
      <c r="G60" s="73"/>
      <c r="H60" s="73"/>
    </row>
    <row r="61" spans="1:5" ht="15.75">
      <c r="A61" s="75">
        <v>3</v>
      </c>
      <c r="B61" s="17" t="s">
        <v>263</v>
      </c>
      <c r="D61" s="87"/>
      <c r="E61" s="88"/>
    </row>
    <row r="62" spans="2:5" ht="15">
      <c r="B62" s="15" t="s">
        <v>265</v>
      </c>
      <c r="C62" s="14" t="s">
        <v>266</v>
      </c>
      <c r="D62" s="81" t="s">
        <v>267</v>
      </c>
      <c r="E62" s="82"/>
    </row>
    <row r="63" spans="2:5" ht="15">
      <c r="B63" s="15" t="s">
        <v>269</v>
      </c>
      <c r="C63" s="14" t="s">
        <v>270</v>
      </c>
      <c r="D63" s="81" t="s">
        <v>271</v>
      </c>
      <c r="E63" s="82"/>
    </row>
    <row r="64" spans="2:5" ht="15">
      <c r="B64" s="15" t="s">
        <v>273</v>
      </c>
      <c r="C64" s="89" t="s">
        <v>274</v>
      </c>
      <c r="D64" s="81" t="s">
        <v>275</v>
      </c>
      <c r="E64" s="82"/>
    </row>
    <row r="65" spans="2:5" ht="15">
      <c r="B65" s="15" t="s">
        <v>277</v>
      </c>
      <c r="C65" s="14" t="s">
        <v>278</v>
      </c>
      <c r="D65" s="81" t="s">
        <v>279</v>
      </c>
      <c r="E65" s="82"/>
    </row>
    <row r="66" spans="2:5" ht="15">
      <c r="B66" s="15" t="s">
        <v>281</v>
      </c>
      <c r="C66" s="14" t="s">
        <v>282</v>
      </c>
      <c r="D66" s="81" t="s">
        <v>283</v>
      </c>
      <c r="E66" s="82"/>
    </row>
    <row r="67" spans="2:5" ht="15">
      <c r="B67" s="15" t="s">
        <v>285</v>
      </c>
      <c r="C67" s="14" t="s">
        <v>286</v>
      </c>
      <c r="D67" s="81" t="s">
        <v>287</v>
      </c>
      <c r="E67" s="82"/>
    </row>
    <row r="68" spans="2:5" ht="15">
      <c r="B68" s="15" t="s">
        <v>289</v>
      </c>
      <c r="C68" s="14" t="s">
        <v>290</v>
      </c>
      <c r="D68" s="81" t="s">
        <v>291</v>
      </c>
      <c r="E68" s="82"/>
    </row>
    <row r="69" spans="2:5" ht="15">
      <c r="B69" s="15" t="s">
        <v>293</v>
      </c>
      <c r="C69" s="90" t="s">
        <v>294</v>
      </c>
      <c r="D69" s="81" t="s">
        <v>295</v>
      </c>
      <c r="E69" s="82"/>
    </row>
    <row r="70" spans="1:5" ht="15.75">
      <c r="A70" s="15">
        <v>4</v>
      </c>
      <c r="B70" s="17" t="s">
        <v>296</v>
      </c>
      <c r="C70" s="90"/>
      <c r="D70" s="81"/>
      <c r="E70" s="82"/>
    </row>
    <row r="71" spans="2:5" ht="15">
      <c r="B71" s="15" t="s">
        <v>298</v>
      </c>
      <c r="C71" s="14" t="s">
        <v>299</v>
      </c>
      <c r="D71" s="81" t="s">
        <v>300</v>
      </c>
      <c r="E71" s="82"/>
    </row>
    <row r="72" spans="2:5" ht="15">
      <c r="B72" s="15" t="s">
        <v>302</v>
      </c>
      <c r="C72" s="91" t="s">
        <v>303</v>
      </c>
      <c r="D72" s="81" t="s">
        <v>304</v>
      </c>
      <c r="E72" s="82"/>
    </row>
    <row r="73" spans="2:5" ht="15">
      <c r="B73" s="15" t="s">
        <v>306</v>
      </c>
      <c r="C73" s="91" t="s">
        <v>307</v>
      </c>
      <c r="D73" s="81" t="s">
        <v>308</v>
      </c>
      <c r="E73" s="82"/>
    </row>
    <row r="74" spans="2:5" ht="15">
      <c r="B74" s="15" t="s">
        <v>310</v>
      </c>
      <c r="C74" s="14" t="s">
        <v>311</v>
      </c>
      <c r="D74" s="81" t="s">
        <v>312</v>
      </c>
      <c r="E74" s="82"/>
    </row>
    <row r="75" spans="2:5" ht="15">
      <c r="B75" s="15" t="s">
        <v>314</v>
      </c>
      <c r="C75" s="14" t="s">
        <v>315</v>
      </c>
      <c r="D75" s="81" t="s">
        <v>316</v>
      </c>
      <c r="E75" s="82"/>
    </row>
    <row r="76" spans="2:5" ht="15">
      <c r="B76" s="15" t="s">
        <v>318</v>
      </c>
      <c r="C76" s="14" t="s">
        <v>319</v>
      </c>
      <c r="D76" s="81" t="s">
        <v>320</v>
      </c>
      <c r="E76" s="82"/>
    </row>
    <row r="77" spans="1:5" ht="15.75">
      <c r="A77" s="75"/>
      <c r="B77" s="15" t="s">
        <v>322</v>
      </c>
      <c r="C77" s="14" t="s">
        <v>323</v>
      </c>
      <c r="D77" s="81" t="s">
        <v>324</v>
      </c>
      <c r="E77" s="82"/>
    </row>
    <row r="78" spans="2:5" ht="15">
      <c r="B78" s="15" t="s">
        <v>326</v>
      </c>
      <c r="C78" s="91" t="s">
        <v>327</v>
      </c>
      <c r="D78" s="81" t="s">
        <v>328</v>
      </c>
      <c r="E78" s="82"/>
    </row>
    <row r="79" spans="2:5" ht="15">
      <c r="B79" s="15" t="s">
        <v>330</v>
      </c>
      <c r="C79" s="91" t="s">
        <v>331</v>
      </c>
      <c r="D79" s="81" t="s">
        <v>332</v>
      </c>
      <c r="E79" s="82"/>
    </row>
    <row r="80" ht="15">
      <c r="B80" s="15"/>
    </row>
    <row r="81" ht="15">
      <c r="B81" s="15"/>
    </row>
    <row r="82" ht="15">
      <c r="B82" s="15"/>
    </row>
    <row r="83" ht="15">
      <c r="B83" s="15"/>
    </row>
    <row r="84" ht="15">
      <c r="B84" s="15"/>
    </row>
    <row r="85" ht="15">
      <c r="B85" s="15"/>
    </row>
    <row r="86" ht="15">
      <c r="B86" s="15"/>
    </row>
    <row r="87" ht="15">
      <c r="B87" s="15"/>
    </row>
    <row r="88" ht="15">
      <c r="B88" s="15"/>
    </row>
    <row r="89" ht="15">
      <c r="B89" s="15"/>
    </row>
    <row r="90" ht="15">
      <c r="B90" s="15"/>
    </row>
    <row r="91" ht="15">
      <c r="B91" s="15"/>
    </row>
    <row r="92" ht="15">
      <c r="B92" s="15"/>
    </row>
    <row r="93" ht="15">
      <c r="B93" s="15"/>
    </row>
    <row r="94" ht="15">
      <c r="B94" s="15"/>
    </row>
    <row r="95" ht="15">
      <c r="B95" s="15"/>
    </row>
    <row r="96" ht="15">
      <c r="B96" s="15"/>
    </row>
    <row r="97" ht="15">
      <c r="B97" s="15"/>
    </row>
    <row r="98" ht="15">
      <c r="B98" s="15"/>
    </row>
    <row r="99" ht="15">
      <c r="B99" s="15"/>
    </row>
  </sheetData>
  <sheetProtection/>
  <mergeCells count="16">
    <mergeCell ref="A1:H1"/>
    <mergeCell ref="A4:B4"/>
    <mergeCell ref="F23:F24"/>
    <mergeCell ref="G15:G17"/>
    <mergeCell ref="G11:G13"/>
    <mergeCell ref="G23:G24"/>
    <mergeCell ref="G25:G27"/>
    <mergeCell ref="B3:D3"/>
    <mergeCell ref="F3:H3"/>
    <mergeCell ref="F11:F13"/>
    <mergeCell ref="F15:F17"/>
    <mergeCell ref="H11:H13"/>
    <mergeCell ref="H23:H24"/>
    <mergeCell ref="H25:H27"/>
    <mergeCell ref="H15:H17"/>
    <mergeCell ref="F25:F27"/>
  </mergeCells>
  <printOptions gridLines="1"/>
  <pageMargins left="0.5905511811023623" right="0.2755905511811024" top="0.35433070866141736" bottom="0.31496062992125984" header="0.31496062992125984" footer="0.2362204724409449"/>
  <pageSetup fitToHeight="1" fitToWidth="1" horizontalDpi="600" verticalDpi="600" orientation="portrait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view="pageBreakPreview" zoomScale="85" zoomScaleNormal="75" zoomScaleSheetLayoutView="85" zoomScalePageLayoutView="0" workbookViewId="0" topLeftCell="A1">
      <selection activeCell="I14" sqref="I14"/>
    </sheetView>
  </sheetViews>
  <sheetFormatPr defaultColWidth="9.140625" defaultRowHeight="12.75"/>
  <cols>
    <col min="1" max="1" width="7.421875" style="197" customWidth="1"/>
    <col min="2" max="2" width="47.00390625" style="241" customWidth="1"/>
    <col min="3" max="3" width="14.140625" style="197" customWidth="1"/>
    <col min="4" max="4" width="11.57421875" style="197" customWidth="1"/>
    <col min="5" max="5" width="11.7109375" style="197" customWidth="1"/>
    <col min="6" max="6" width="11.00390625" style="197" customWidth="1"/>
    <col min="7" max="7" width="11.140625" style="197" customWidth="1"/>
    <col min="8" max="8" width="13.00390625" style="197" customWidth="1"/>
    <col min="9" max="9" width="11.28125" style="197" customWidth="1"/>
    <col min="10" max="10" width="10.421875" style="197" customWidth="1"/>
    <col min="11" max="11" width="11.57421875" style="197" customWidth="1"/>
    <col min="12" max="12" width="11.8515625" style="197" customWidth="1"/>
    <col min="13" max="13" width="12.7109375" style="197" customWidth="1"/>
    <col min="14" max="14" width="9.140625" style="197" customWidth="1"/>
    <col min="15" max="15" width="11.00390625" style="197" bestFit="1" customWidth="1"/>
    <col min="16" max="16384" width="9.140625" style="197" customWidth="1"/>
  </cols>
  <sheetData>
    <row r="1" spans="1:13" ht="22.5" customHeight="1">
      <c r="A1" s="564"/>
      <c r="B1" s="326" t="s">
        <v>341</v>
      </c>
      <c r="C1" s="569"/>
      <c r="D1" s="569"/>
      <c r="E1" s="569"/>
      <c r="F1" s="569"/>
      <c r="G1" s="569"/>
      <c r="H1" s="569"/>
      <c r="I1" s="569"/>
      <c r="J1" s="561"/>
      <c r="K1" s="583" t="s">
        <v>366</v>
      </c>
      <c r="L1" s="581" t="s">
        <v>473</v>
      </c>
      <c r="M1" s="569"/>
    </row>
    <row r="2" spans="1:13" ht="15.75">
      <c r="A2" s="564"/>
      <c r="B2" s="582" t="s">
        <v>510</v>
      </c>
      <c r="C2" s="580"/>
      <c r="D2" s="580"/>
      <c r="E2" s="580"/>
      <c r="F2" s="580"/>
      <c r="G2" s="580"/>
      <c r="H2" s="580"/>
      <c r="I2" s="580"/>
      <c r="J2" s="580"/>
      <c r="K2" s="581"/>
      <c r="L2" s="580"/>
      <c r="M2" s="580"/>
    </row>
    <row r="3" spans="1:13" s="214" customFormat="1" ht="42" customHeight="1">
      <c r="A3" s="579"/>
      <c r="B3" s="311"/>
      <c r="C3" s="561"/>
      <c r="D3" s="627" t="s">
        <v>522</v>
      </c>
      <c r="E3" s="628"/>
      <c r="F3" s="628"/>
      <c r="G3" s="628"/>
      <c r="H3" s="628"/>
      <c r="I3" s="627" t="s">
        <v>523</v>
      </c>
      <c r="J3" s="628"/>
      <c r="K3" s="628"/>
      <c r="L3" s="628"/>
      <c r="M3" s="628"/>
    </row>
    <row r="4" spans="1:13" ht="15.75">
      <c r="A4" s="578" t="s">
        <v>374</v>
      </c>
      <c r="B4" s="560" t="s">
        <v>380</v>
      </c>
      <c r="C4" s="540" t="s">
        <v>375</v>
      </c>
      <c r="D4" s="629" t="s">
        <v>512</v>
      </c>
      <c r="E4" s="639"/>
      <c r="F4" s="639"/>
      <c r="G4" s="639"/>
      <c r="H4" s="639"/>
      <c r="I4" s="629" t="s">
        <v>512</v>
      </c>
      <c r="J4" s="639"/>
      <c r="K4" s="639"/>
      <c r="L4" s="639"/>
      <c r="M4" s="639"/>
    </row>
    <row r="5" spans="1:13" ht="15.75">
      <c r="A5" s="578"/>
      <c r="B5" s="560"/>
      <c r="C5" s="540"/>
      <c r="D5" s="536" t="s">
        <v>333</v>
      </c>
      <c r="E5" s="536" t="s">
        <v>377</v>
      </c>
      <c r="F5" s="322" t="s">
        <v>378</v>
      </c>
      <c r="G5" s="322" t="s">
        <v>379</v>
      </c>
      <c r="H5" s="322" t="s">
        <v>381</v>
      </c>
      <c r="I5" s="536" t="s">
        <v>333</v>
      </c>
      <c r="J5" s="536" t="s">
        <v>377</v>
      </c>
      <c r="K5" s="322" t="s">
        <v>378</v>
      </c>
      <c r="L5" s="322" t="s">
        <v>379</v>
      </c>
      <c r="M5" s="322" t="s">
        <v>381</v>
      </c>
    </row>
    <row r="6" spans="1:13" ht="30">
      <c r="A6" s="542">
        <v>1</v>
      </c>
      <c r="B6" s="570" t="s">
        <v>527</v>
      </c>
      <c r="C6" s="540" t="s">
        <v>367</v>
      </c>
      <c r="D6" s="576">
        <v>9401</v>
      </c>
      <c r="E6" s="576">
        <v>5625</v>
      </c>
      <c r="F6" s="576">
        <v>7500</v>
      </c>
      <c r="G6" s="576">
        <v>3630</v>
      </c>
      <c r="H6" s="577">
        <f>SUM(D6:G6)</f>
        <v>26156</v>
      </c>
      <c r="I6" s="576">
        <f aca="true" t="shared" si="0" ref="I6:L7">D6</f>
        <v>9401</v>
      </c>
      <c r="J6" s="576">
        <f t="shared" si="0"/>
        <v>5625</v>
      </c>
      <c r="K6" s="576">
        <f t="shared" si="0"/>
        <v>7500</v>
      </c>
      <c r="L6" s="576">
        <f t="shared" si="0"/>
        <v>3630</v>
      </c>
      <c r="M6" s="574">
        <f>SUM(I6:L6)</f>
        <v>26156</v>
      </c>
    </row>
    <row r="7" spans="1:13" ht="15.75">
      <c r="A7" s="542">
        <v>2</v>
      </c>
      <c r="B7" s="570" t="s">
        <v>530</v>
      </c>
      <c r="C7" s="540" t="s">
        <v>368</v>
      </c>
      <c r="D7" s="324">
        <v>1657</v>
      </c>
      <c r="E7" s="324">
        <v>940</v>
      </c>
      <c r="F7" s="324">
        <v>1250</v>
      </c>
      <c r="G7" s="324">
        <v>600</v>
      </c>
      <c r="H7" s="166">
        <f>SUM(D7:G7)</f>
        <v>4447</v>
      </c>
      <c r="I7" s="545">
        <f t="shared" si="0"/>
        <v>1657</v>
      </c>
      <c r="J7" s="545">
        <f t="shared" si="0"/>
        <v>940</v>
      </c>
      <c r="K7" s="545">
        <f t="shared" si="0"/>
        <v>1250</v>
      </c>
      <c r="L7" s="545">
        <f t="shared" si="0"/>
        <v>600</v>
      </c>
      <c r="M7" s="166">
        <f>SUM(I7:L7)</f>
        <v>4447</v>
      </c>
    </row>
    <row r="8" spans="1:13" ht="15.75">
      <c r="A8" s="542">
        <v>3</v>
      </c>
      <c r="B8" s="570" t="s">
        <v>452</v>
      </c>
      <c r="C8" s="540" t="s">
        <v>369</v>
      </c>
      <c r="D8" s="536"/>
      <c r="E8" s="540"/>
      <c r="F8" s="537"/>
      <c r="G8" s="550"/>
      <c r="H8" s="540"/>
      <c r="I8" s="540"/>
      <c r="J8" s="540"/>
      <c r="K8" s="540"/>
      <c r="L8" s="540"/>
      <c r="M8" s="540"/>
    </row>
    <row r="9" spans="1:13" ht="15.75">
      <c r="A9" s="542">
        <v>4</v>
      </c>
      <c r="B9" s="570" t="s">
        <v>453</v>
      </c>
      <c r="C9" s="540" t="s">
        <v>370</v>
      </c>
      <c r="D9" s="575">
        <v>265</v>
      </c>
      <c r="E9" s="574">
        <v>280</v>
      </c>
      <c r="F9" s="538">
        <v>286</v>
      </c>
      <c r="G9" s="573">
        <v>185</v>
      </c>
      <c r="H9" s="536">
        <f>H14/H6*1000</f>
        <v>263.1447851353418</v>
      </c>
      <c r="I9" s="584">
        <v>354.86</v>
      </c>
      <c r="J9" s="584">
        <v>354.86</v>
      </c>
      <c r="K9" s="584">
        <v>354.86</v>
      </c>
      <c r="L9" s="584">
        <v>354.86</v>
      </c>
      <c r="M9" s="536">
        <f>M14/M6*1000</f>
        <v>354.86076464291176</v>
      </c>
    </row>
    <row r="10" spans="1:13" ht="15.75">
      <c r="A10" s="542">
        <v>5</v>
      </c>
      <c r="B10" s="570" t="s">
        <v>458</v>
      </c>
      <c r="C10" s="540" t="s">
        <v>370</v>
      </c>
      <c r="D10" s="536">
        <v>0</v>
      </c>
      <c r="E10" s="540">
        <v>0</v>
      </c>
      <c r="F10" s="537">
        <v>0</v>
      </c>
      <c r="G10" s="550">
        <v>0</v>
      </c>
      <c r="H10" s="540"/>
      <c r="I10" s="540"/>
      <c r="J10" s="540"/>
      <c r="K10" s="540"/>
      <c r="L10" s="540"/>
      <c r="M10" s="540"/>
    </row>
    <row r="11" spans="1:13" ht="15.75">
      <c r="A11" s="542">
        <v>6</v>
      </c>
      <c r="B11" s="570" t="s">
        <v>459</v>
      </c>
      <c r="C11" s="540"/>
      <c r="D11" s="536"/>
      <c r="E11" s="537"/>
      <c r="F11" s="537"/>
      <c r="G11" s="550"/>
      <c r="H11" s="537"/>
      <c r="I11" s="537"/>
      <c r="J11" s="537"/>
      <c r="K11" s="537"/>
      <c r="L11" s="537"/>
      <c r="M11" s="537"/>
    </row>
    <row r="12" spans="1:13" ht="15.75">
      <c r="A12" s="542">
        <v>7</v>
      </c>
      <c r="B12" s="570" t="s">
        <v>454</v>
      </c>
      <c r="C12" s="540" t="s">
        <v>370</v>
      </c>
      <c r="D12" s="536"/>
      <c r="E12" s="537"/>
      <c r="F12" s="537"/>
      <c r="G12" s="550"/>
      <c r="H12" s="537"/>
      <c r="I12" s="537"/>
      <c r="J12" s="537"/>
      <c r="K12" s="537"/>
      <c r="L12" s="537"/>
      <c r="M12" s="537"/>
    </row>
    <row r="13" spans="1:13" ht="15.75">
      <c r="A13" s="542">
        <v>8</v>
      </c>
      <c r="B13" s="570" t="s">
        <v>455</v>
      </c>
      <c r="C13" s="540" t="s">
        <v>371</v>
      </c>
      <c r="D13" s="536"/>
      <c r="E13" s="537"/>
      <c r="F13" s="537"/>
      <c r="G13" s="550"/>
      <c r="H13" s="538"/>
      <c r="I13" s="538"/>
      <c r="J13" s="538"/>
      <c r="K13" s="538"/>
      <c r="L13" s="538"/>
      <c r="M13" s="537"/>
    </row>
    <row r="14" spans="1:13" ht="15.75">
      <c r="A14" s="542">
        <v>9</v>
      </c>
      <c r="B14" s="570" t="s">
        <v>456</v>
      </c>
      <c r="C14" s="540" t="s">
        <v>371</v>
      </c>
      <c r="D14" s="536">
        <f>D6*D9/1000</f>
        <v>2491.265</v>
      </c>
      <c r="E14" s="575">
        <f aca="true" t="shared" si="1" ref="E14:L14">E6*E9/1000</f>
        <v>1575</v>
      </c>
      <c r="F14" s="575">
        <f t="shared" si="1"/>
        <v>2145</v>
      </c>
      <c r="G14" s="536">
        <f t="shared" si="1"/>
        <v>671.55</v>
      </c>
      <c r="H14" s="544">
        <f>SUM(D14:G14)</f>
        <v>6882.815</v>
      </c>
      <c r="I14" s="574">
        <f t="shared" si="1"/>
        <v>3336.03886</v>
      </c>
      <c r="J14" s="574">
        <f t="shared" si="1"/>
        <v>1996.0875</v>
      </c>
      <c r="K14" s="574">
        <f t="shared" si="1"/>
        <v>2661.45</v>
      </c>
      <c r="L14" s="574">
        <f t="shared" si="1"/>
        <v>1288.1418</v>
      </c>
      <c r="M14" s="544">
        <f>SUM(I14:L14)+0.02</f>
        <v>9281.73816</v>
      </c>
    </row>
    <row r="15" spans="1:13" ht="15.75">
      <c r="A15" s="542">
        <v>10</v>
      </c>
      <c r="B15" s="570" t="s">
        <v>457</v>
      </c>
      <c r="C15" s="540" t="s">
        <v>371</v>
      </c>
      <c r="D15" s="536">
        <v>0</v>
      </c>
      <c r="E15" s="536">
        <v>0</v>
      </c>
      <c r="F15" s="536">
        <v>0</v>
      </c>
      <c r="G15" s="536">
        <v>0</v>
      </c>
      <c r="H15" s="556"/>
      <c r="I15" s="540">
        <v>0</v>
      </c>
      <c r="J15" s="540">
        <v>0</v>
      </c>
      <c r="K15" s="540">
        <v>0</v>
      </c>
      <c r="L15" s="540">
        <v>0</v>
      </c>
      <c r="M15" s="537"/>
    </row>
    <row r="16" spans="1:13" ht="15.75">
      <c r="A16" s="542">
        <v>11</v>
      </c>
      <c r="B16" s="570" t="s">
        <v>460</v>
      </c>
      <c r="C16" s="540" t="s">
        <v>371</v>
      </c>
      <c r="D16" s="536">
        <v>0</v>
      </c>
      <c r="E16" s="536">
        <v>0</v>
      </c>
      <c r="F16" s="536">
        <v>0</v>
      </c>
      <c r="G16" s="536">
        <v>0</v>
      </c>
      <c r="H16" s="556"/>
      <c r="I16" s="540">
        <v>0</v>
      </c>
      <c r="J16" s="540">
        <v>0</v>
      </c>
      <c r="K16" s="540">
        <v>0</v>
      </c>
      <c r="L16" s="540">
        <v>0</v>
      </c>
      <c r="M16" s="537"/>
    </row>
    <row r="17" spans="1:13" ht="15.75">
      <c r="A17" s="542">
        <v>12</v>
      </c>
      <c r="B17" s="570" t="s">
        <v>463</v>
      </c>
      <c r="C17" s="540" t="s">
        <v>371</v>
      </c>
      <c r="D17" s="536">
        <v>0</v>
      </c>
      <c r="E17" s="536">
        <v>0</v>
      </c>
      <c r="F17" s="536">
        <v>0</v>
      </c>
      <c r="G17" s="536">
        <v>0</v>
      </c>
      <c r="H17" s="556"/>
      <c r="I17" s="540">
        <v>0</v>
      </c>
      <c r="J17" s="540">
        <v>0</v>
      </c>
      <c r="K17" s="540">
        <v>0</v>
      </c>
      <c r="L17" s="540">
        <v>0</v>
      </c>
      <c r="M17" s="537"/>
    </row>
    <row r="18" spans="1:13" s="214" customFormat="1" ht="15.75">
      <c r="A18" s="542">
        <v>13</v>
      </c>
      <c r="B18" s="328" t="s">
        <v>511</v>
      </c>
      <c r="C18" s="536" t="s">
        <v>371</v>
      </c>
      <c r="D18" s="536">
        <f aca="true" t="shared" si="2" ref="D18:M18">SUM(D14:D17)</f>
        <v>2491.265</v>
      </c>
      <c r="E18" s="536">
        <f t="shared" si="2"/>
        <v>1575</v>
      </c>
      <c r="F18" s="536">
        <f t="shared" si="2"/>
        <v>2145</v>
      </c>
      <c r="G18" s="536">
        <f t="shared" si="2"/>
        <v>671.55</v>
      </c>
      <c r="H18" s="575">
        <f t="shared" si="2"/>
        <v>6882.815</v>
      </c>
      <c r="I18" s="540">
        <f t="shared" si="2"/>
        <v>3336.03886</v>
      </c>
      <c r="J18" s="540">
        <f t="shared" si="2"/>
        <v>1996.0875</v>
      </c>
      <c r="K18" s="540">
        <f t="shared" si="2"/>
        <v>2661.45</v>
      </c>
      <c r="L18" s="540">
        <f t="shared" si="2"/>
        <v>1288.1418</v>
      </c>
      <c r="M18" s="575">
        <f t="shared" si="2"/>
        <v>9281.73816</v>
      </c>
    </row>
    <row r="19" spans="1:13" ht="15.75">
      <c r="A19" s="542">
        <v>14</v>
      </c>
      <c r="B19" s="570" t="s">
        <v>468</v>
      </c>
      <c r="C19" s="540" t="s">
        <v>372</v>
      </c>
      <c r="D19" s="536"/>
      <c r="E19" s="537"/>
      <c r="F19" s="537"/>
      <c r="G19" s="550"/>
      <c r="H19" s="538"/>
      <c r="I19" s="538"/>
      <c r="J19" s="538"/>
      <c r="K19" s="538"/>
      <c r="L19" s="538"/>
      <c r="M19" s="537"/>
    </row>
    <row r="20" spans="1:13" ht="15.75">
      <c r="A20" s="542">
        <v>15</v>
      </c>
      <c r="B20" s="570" t="s">
        <v>467</v>
      </c>
      <c r="C20" s="540" t="s">
        <v>371</v>
      </c>
      <c r="D20" s="536"/>
      <c r="E20" s="537"/>
      <c r="F20" s="537"/>
      <c r="G20" s="550"/>
      <c r="H20" s="538"/>
      <c r="I20" s="538"/>
      <c r="J20" s="538"/>
      <c r="K20" s="538"/>
      <c r="L20" s="538"/>
      <c r="M20" s="537"/>
    </row>
    <row r="21" spans="1:13" ht="15.75">
      <c r="A21" s="542">
        <v>16</v>
      </c>
      <c r="B21" s="328" t="s">
        <v>513</v>
      </c>
      <c r="C21" s="536" t="s">
        <v>371</v>
      </c>
      <c r="D21" s="536">
        <f aca="true" t="shared" si="3" ref="D21:M21">D18</f>
        <v>2491.265</v>
      </c>
      <c r="E21" s="536">
        <f t="shared" si="3"/>
        <v>1575</v>
      </c>
      <c r="F21" s="536">
        <f t="shared" si="3"/>
        <v>2145</v>
      </c>
      <c r="G21" s="536">
        <f t="shared" si="3"/>
        <v>671.55</v>
      </c>
      <c r="H21" s="575">
        <f t="shared" si="3"/>
        <v>6882.815</v>
      </c>
      <c r="I21" s="536">
        <f t="shared" si="3"/>
        <v>3336.03886</v>
      </c>
      <c r="J21" s="536">
        <f t="shared" si="3"/>
        <v>1996.0875</v>
      </c>
      <c r="K21" s="536">
        <f t="shared" si="3"/>
        <v>2661.45</v>
      </c>
      <c r="L21" s="536">
        <f t="shared" si="3"/>
        <v>1288.1418</v>
      </c>
      <c r="M21" s="575">
        <f t="shared" si="3"/>
        <v>9281.73816</v>
      </c>
    </row>
    <row r="22" spans="1:13" ht="15.75">
      <c r="A22" s="547"/>
      <c r="B22" s="560"/>
      <c r="C22" s="569"/>
      <c r="D22" s="536"/>
      <c r="E22" s="537"/>
      <c r="F22" s="537"/>
      <c r="G22" s="550"/>
      <c r="H22" s="538"/>
      <c r="I22" s="538"/>
      <c r="J22" s="538"/>
      <c r="K22" s="538"/>
      <c r="L22" s="538"/>
      <c r="M22" s="537"/>
    </row>
    <row r="23" spans="1:15" ht="31.5">
      <c r="A23" s="542">
        <v>17</v>
      </c>
      <c r="B23" s="572" t="s">
        <v>514</v>
      </c>
      <c r="C23" s="569"/>
      <c r="D23" s="248" t="s">
        <v>387</v>
      </c>
      <c r="E23" s="248" t="s">
        <v>515</v>
      </c>
      <c r="F23" s="549" t="s">
        <v>516</v>
      </c>
      <c r="G23" s="549" t="s">
        <v>517</v>
      </c>
      <c r="H23" s="322" t="s">
        <v>381</v>
      </c>
      <c r="I23" s="248" t="s">
        <v>387</v>
      </c>
      <c r="J23" s="248" t="s">
        <v>515</v>
      </c>
      <c r="K23" s="549" t="s">
        <v>516</v>
      </c>
      <c r="L23" s="549" t="s">
        <v>517</v>
      </c>
      <c r="M23" s="322" t="s">
        <v>381</v>
      </c>
      <c r="N23" s="548"/>
      <c r="O23" s="571"/>
    </row>
    <row r="24" spans="1:13" ht="30">
      <c r="A24" s="547">
        <v>18</v>
      </c>
      <c r="B24" s="570" t="s">
        <v>527</v>
      </c>
      <c r="C24" s="540" t="s">
        <v>367</v>
      </c>
      <c r="D24" s="635">
        <v>10</v>
      </c>
      <c r="E24" s="636"/>
      <c r="F24" s="537"/>
      <c r="G24" s="538"/>
      <c r="H24" s="538"/>
      <c r="I24" s="631">
        <v>10</v>
      </c>
      <c r="J24" s="632"/>
      <c r="K24" s="538"/>
      <c r="L24" s="538"/>
      <c r="M24" s="537"/>
    </row>
    <row r="25" spans="1:13" ht="15.75">
      <c r="A25" s="542">
        <f aca="true" t="shared" si="4" ref="A25:A43">A24+1</f>
        <v>19</v>
      </c>
      <c r="B25" s="570" t="s">
        <v>528</v>
      </c>
      <c r="C25" s="540" t="s">
        <v>368</v>
      </c>
      <c r="D25" s="537"/>
      <c r="E25" s="537"/>
      <c r="F25" s="537"/>
      <c r="G25" s="538"/>
      <c r="H25" s="538"/>
      <c r="I25" s="538"/>
      <c r="J25" s="538"/>
      <c r="K25" s="538"/>
      <c r="L25" s="538"/>
      <c r="M25" s="537"/>
    </row>
    <row r="26" spans="1:13" ht="15.75">
      <c r="A26" s="542">
        <f t="shared" si="4"/>
        <v>20</v>
      </c>
      <c r="B26" s="570" t="s">
        <v>452</v>
      </c>
      <c r="C26" s="540" t="s">
        <v>369</v>
      </c>
      <c r="D26" s="537"/>
      <c r="E26" s="537"/>
      <c r="F26" s="537"/>
      <c r="G26" s="538"/>
      <c r="H26" s="538"/>
      <c r="I26" s="538"/>
      <c r="J26" s="538"/>
      <c r="K26" s="538"/>
      <c r="L26" s="538"/>
      <c r="M26" s="537"/>
    </row>
    <row r="27" spans="1:13" ht="15.75">
      <c r="A27" s="542">
        <f t="shared" si="4"/>
        <v>21</v>
      </c>
      <c r="B27" s="570" t="s">
        <v>453</v>
      </c>
      <c r="C27" s="540" t="s">
        <v>370</v>
      </c>
      <c r="D27" s="635">
        <v>670</v>
      </c>
      <c r="E27" s="636"/>
      <c r="F27" s="537"/>
      <c r="G27" s="538"/>
      <c r="H27" s="538"/>
      <c r="I27" s="631">
        <v>670</v>
      </c>
      <c r="J27" s="632"/>
      <c r="K27" s="538"/>
      <c r="L27" s="538"/>
      <c r="M27" s="537"/>
    </row>
    <row r="28" spans="1:13" ht="15.75">
      <c r="A28" s="542">
        <f t="shared" si="4"/>
        <v>22</v>
      </c>
      <c r="B28" s="570" t="s">
        <v>458</v>
      </c>
      <c r="C28" s="540" t="s">
        <v>370</v>
      </c>
      <c r="D28" s="537"/>
      <c r="E28" s="537"/>
      <c r="F28" s="537"/>
      <c r="G28" s="538"/>
      <c r="H28" s="538"/>
      <c r="I28" s="538"/>
      <c r="J28" s="538"/>
      <c r="K28" s="538"/>
      <c r="L28" s="538"/>
      <c r="M28" s="537"/>
    </row>
    <row r="29" spans="1:13" ht="15.75">
      <c r="A29" s="542">
        <f t="shared" si="4"/>
        <v>23</v>
      </c>
      <c r="B29" s="570" t="s">
        <v>459</v>
      </c>
      <c r="C29" s="540"/>
      <c r="D29" s="541"/>
      <c r="E29" s="540"/>
      <c r="F29" s="537"/>
      <c r="G29" s="546"/>
      <c r="H29" s="546"/>
      <c r="I29" s="538"/>
      <c r="J29" s="538"/>
      <c r="K29" s="538"/>
      <c r="L29" s="538"/>
      <c r="M29" s="537"/>
    </row>
    <row r="30" spans="1:13" ht="15.75">
      <c r="A30" s="542">
        <f t="shared" si="4"/>
        <v>24</v>
      </c>
      <c r="B30" s="570" t="s">
        <v>455</v>
      </c>
      <c r="C30" s="540" t="s">
        <v>371</v>
      </c>
      <c r="D30" s="541"/>
      <c r="E30" s="534"/>
      <c r="F30" s="537"/>
      <c r="G30" s="540"/>
      <c r="H30" s="540"/>
      <c r="I30" s="538"/>
      <c r="J30" s="538"/>
      <c r="K30" s="538"/>
      <c r="L30" s="538"/>
      <c r="M30" s="537"/>
    </row>
    <row r="31" spans="1:13" ht="15.75">
      <c r="A31" s="542">
        <f t="shared" si="4"/>
        <v>25</v>
      </c>
      <c r="B31" s="570" t="s">
        <v>456</v>
      </c>
      <c r="C31" s="540" t="s">
        <v>371</v>
      </c>
      <c r="D31" s="637">
        <f>D24*D27/1000</f>
        <v>6.7</v>
      </c>
      <c r="E31" s="638"/>
      <c r="F31" s="537"/>
      <c r="G31" s="539"/>
      <c r="H31" s="539"/>
      <c r="I31" s="637">
        <f>I24*I27/1000</f>
        <v>6.7</v>
      </c>
      <c r="J31" s="638"/>
      <c r="K31" s="538"/>
      <c r="L31" s="538"/>
      <c r="M31" s="537"/>
    </row>
    <row r="32" spans="1:13" ht="15.75">
      <c r="A32" s="542">
        <f t="shared" si="4"/>
        <v>26</v>
      </c>
      <c r="B32" s="570" t="s">
        <v>457</v>
      </c>
      <c r="C32" s="540" t="s">
        <v>371</v>
      </c>
      <c r="D32" s="541"/>
      <c r="E32" s="540"/>
      <c r="F32" s="537"/>
      <c r="G32" s="539"/>
      <c r="H32" s="539"/>
      <c r="I32" s="538"/>
      <c r="J32" s="538"/>
      <c r="K32" s="538"/>
      <c r="L32" s="538"/>
      <c r="M32" s="537"/>
    </row>
    <row r="33" spans="1:13" ht="15.75">
      <c r="A33" s="542">
        <f t="shared" si="4"/>
        <v>27</v>
      </c>
      <c r="B33" s="570" t="s">
        <v>460</v>
      </c>
      <c r="C33" s="540" t="s">
        <v>371</v>
      </c>
      <c r="D33" s="541"/>
      <c r="E33" s="540"/>
      <c r="F33" s="537"/>
      <c r="G33" s="546"/>
      <c r="H33" s="546"/>
      <c r="I33" s="538"/>
      <c r="J33" s="538"/>
      <c r="K33" s="538"/>
      <c r="L33" s="538"/>
      <c r="M33" s="537"/>
    </row>
    <row r="34" spans="1:13" ht="15.75">
      <c r="A34" s="542">
        <f t="shared" si="4"/>
        <v>28</v>
      </c>
      <c r="B34" s="568" t="s">
        <v>462</v>
      </c>
      <c r="C34" s="540" t="s">
        <v>371</v>
      </c>
      <c r="D34" s="541"/>
      <c r="E34" s="540"/>
      <c r="F34" s="537"/>
      <c r="G34" s="540"/>
      <c r="H34" s="540"/>
      <c r="I34" s="538"/>
      <c r="J34" s="538"/>
      <c r="K34" s="538"/>
      <c r="L34" s="538"/>
      <c r="M34" s="537"/>
    </row>
    <row r="35" spans="1:13" s="214" customFormat="1" ht="15.75">
      <c r="A35" s="542">
        <f t="shared" si="4"/>
        <v>29</v>
      </c>
      <c r="B35" s="328" t="s">
        <v>518</v>
      </c>
      <c r="C35" s="536" t="s">
        <v>371</v>
      </c>
      <c r="D35" s="633">
        <f>D31</f>
        <v>6.7</v>
      </c>
      <c r="E35" s="634"/>
      <c r="F35" s="534"/>
      <c r="G35" s="536"/>
      <c r="H35" s="575">
        <f>SUM(D35:G35)</f>
        <v>6.7</v>
      </c>
      <c r="I35" s="625">
        <f>I31</f>
        <v>6.7</v>
      </c>
      <c r="J35" s="626"/>
      <c r="K35" s="544"/>
      <c r="L35" s="544"/>
      <c r="M35" s="544">
        <f>SUM(I35:L35)</f>
        <v>6.7</v>
      </c>
    </row>
    <row r="36" spans="1:13" ht="15.75">
      <c r="A36" s="542">
        <f t="shared" si="4"/>
        <v>30</v>
      </c>
      <c r="B36" s="570" t="s">
        <v>468</v>
      </c>
      <c r="C36" s="540" t="s">
        <v>372</v>
      </c>
      <c r="D36" s="541"/>
      <c r="E36" s="534"/>
      <c r="F36" s="537"/>
      <c r="G36" s="540"/>
      <c r="H36" s="540"/>
      <c r="I36" s="538"/>
      <c r="J36" s="538"/>
      <c r="K36" s="538"/>
      <c r="L36" s="538"/>
      <c r="M36" s="537"/>
    </row>
    <row r="37" spans="1:13" ht="15.75">
      <c r="A37" s="542">
        <f t="shared" si="4"/>
        <v>31</v>
      </c>
      <c r="B37" s="570" t="s">
        <v>467</v>
      </c>
      <c r="C37" s="540" t="s">
        <v>371</v>
      </c>
      <c r="D37" s="541"/>
      <c r="E37" s="540"/>
      <c r="F37" s="537"/>
      <c r="G37" s="540"/>
      <c r="H37" s="540"/>
      <c r="I37" s="538"/>
      <c r="J37" s="538"/>
      <c r="K37" s="538"/>
      <c r="L37" s="538"/>
      <c r="M37" s="537"/>
    </row>
    <row r="38" spans="1:13" ht="15.75">
      <c r="A38" s="542">
        <f t="shared" si="4"/>
        <v>32</v>
      </c>
      <c r="B38" s="328" t="s">
        <v>466</v>
      </c>
      <c r="C38" s="536" t="s">
        <v>371</v>
      </c>
      <c r="D38" s="541"/>
      <c r="E38" s="540"/>
      <c r="F38" s="537"/>
      <c r="G38" s="540"/>
      <c r="H38" s="540"/>
      <c r="I38" s="538"/>
      <c r="J38" s="538"/>
      <c r="K38" s="538"/>
      <c r="L38" s="538"/>
      <c r="M38" s="537"/>
    </row>
    <row r="39" spans="1:13" ht="15.75">
      <c r="A39" s="542">
        <f t="shared" si="4"/>
        <v>33</v>
      </c>
      <c r="B39" s="568" t="s">
        <v>461</v>
      </c>
      <c r="C39" s="569" t="s">
        <v>373</v>
      </c>
      <c r="D39" s="541"/>
      <c r="E39" s="540"/>
      <c r="F39" s="537"/>
      <c r="G39" s="540"/>
      <c r="H39" s="540"/>
      <c r="I39" s="538"/>
      <c r="J39" s="538"/>
      <c r="K39" s="538"/>
      <c r="L39" s="538"/>
      <c r="M39" s="537"/>
    </row>
    <row r="40" spans="1:13" ht="15.75">
      <c r="A40" s="542">
        <f t="shared" si="4"/>
        <v>34</v>
      </c>
      <c r="B40" s="568" t="s">
        <v>461</v>
      </c>
      <c r="C40" s="540" t="s">
        <v>371</v>
      </c>
      <c r="D40" s="541"/>
      <c r="E40" s="540"/>
      <c r="F40" s="537"/>
      <c r="G40" s="540"/>
      <c r="H40" s="540"/>
      <c r="I40" s="538"/>
      <c r="J40" s="538"/>
      <c r="K40" s="538"/>
      <c r="L40" s="538"/>
      <c r="M40" s="537"/>
    </row>
    <row r="41" spans="1:13" ht="23.25" customHeight="1">
      <c r="A41" s="542">
        <f t="shared" si="4"/>
        <v>35</v>
      </c>
      <c r="B41" s="568" t="s">
        <v>520</v>
      </c>
      <c r="C41" s="540" t="s">
        <v>371</v>
      </c>
      <c r="D41" s="541"/>
      <c r="E41" s="540"/>
      <c r="F41" s="537"/>
      <c r="G41" s="539"/>
      <c r="H41" s="539"/>
      <c r="I41" s="538"/>
      <c r="J41" s="538"/>
      <c r="K41" s="538"/>
      <c r="L41" s="538"/>
      <c r="M41" s="537"/>
    </row>
    <row r="42" spans="1:13" ht="24" customHeight="1">
      <c r="A42" s="542">
        <f t="shared" si="4"/>
        <v>36</v>
      </c>
      <c r="B42" s="535" t="s">
        <v>519</v>
      </c>
      <c r="C42" s="536" t="s">
        <v>371</v>
      </c>
      <c r="D42" s="541">
        <f>D35+D21</f>
        <v>2497.9649999999997</v>
      </c>
      <c r="E42" s="584">
        <f>E35+E21</f>
        <v>1575</v>
      </c>
      <c r="F42" s="584">
        <f>F35+F21</f>
        <v>2145</v>
      </c>
      <c r="G42" s="541">
        <f>G35+G21</f>
        <v>671.55</v>
      </c>
      <c r="H42" s="536">
        <f>SUM(D42:G42)</f>
        <v>6889.515</v>
      </c>
      <c r="I42" s="541">
        <f>I35+I21</f>
        <v>3342.73886</v>
      </c>
      <c r="J42" s="541">
        <f>J35+J21</f>
        <v>1996.0875</v>
      </c>
      <c r="K42" s="541">
        <f>K35+K21</f>
        <v>2661.45</v>
      </c>
      <c r="L42" s="541">
        <f>L35+L21</f>
        <v>1288.1418</v>
      </c>
      <c r="M42" s="536">
        <f>SUM(I42:L42)</f>
        <v>9288.41816</v>
      </c>
    </row>
    <row r="43" spans="1:13" s="214" customFormat="1" ht="31.5">
      <c r="A43" s="542">
        <f t="shared" si="4"/>
        <v>37</v>
      </c>
      <c r="B43" s="567" t="s">
        <v>465</v>
      </c>
      <c r="C43" s="536" t="s">
        <v>371</v>
      </c>
      <c r="D43" s="534"/>
      <c r="E43" s="534"/>
      <c r="F43" s="534"/>
      <c r="G43" s="544"/>
      <c r="H43" s="544"/>
      <c r="I43" s="544"/>
      <c r="J43" s="544"/>
      <c r="K43" s="544"/>
      <c r="L43" s="534"/>
      <c r="M43" s="534"/>
    </row>
  </sheetData>
  <sheetProtection/>
  <mergeCells count="12">
    <mergeCell ref="D3:H3"/>
    <mergeCell ref="I3:M3"/>
    <mergeCell ref="D4:H4"/>
    <mergeCell ref="I4:M4"/>
    <mergeCell ref="D24:E24"/>
    <mergeCell ref="I24:J24"/>
    <mergeCell ref="D35:E35"/>
    <mergeCell ref="I35:J35"/>
    <mergeCell ref="D27:E27"/>
    <mergeCell ref="I27:J27"/>
    <mergeCell ref="D31:E31"/>
    <mergeCell ref="I31:J31"/>
  </mergeCells>
  <printOptions gridLines="1"/>
  <pageMargins left="0.54" right="0.22" top="0.61" bottom="0.44" header="0.53" footer="0.18"/>
  <pageSetup fitToHeight="1" fitToWidth="1" horizontalDpi="600" verticalDpi="600" orientation="landscape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44"/>
  <sheetViews>
    <sheetView zoomScalePageLayoutView="0" workbookViewId="0" topLeftCell="A76">
      <selection activeCell="K78" sqref="K78"/>
    </sheetView>
  </sheetViews>
  <sheetFormatPr defaultColWidth="9.140625" defaultRowHeight="12.75"/>
  <cols>
    <col min="1" max="1" width="13.28125" style="25" customWidth="1"/>
    <col min="2" max="2" width="11.140625" style="25" customWidth="1"/>
    <col min="3" max="3" width="13.00390625" style="25" customWidth="1"/>
    <col min="4" max="5" width="10.7109375" style="25" customWidth="1"/>
    <col min="6" max="6" width="14.421875" style="25" bestFit="1" customWidth="1"/>
    <col min="7" max="7" width="14.421875" style="25" customWidth="1"/>
    <col min="8" max="8" width="13.7109375" style="25" customWidth="1"/>
    <col min="9" max="9" width="15.7109375" style="25" customWidth="1"/>
    <col min="10" max="10" width="14.421875" style="25" bestFit="1" customWidth="1"/>
    <col min="11" max="11" width="17.7109375" style="25" customWidth="1"/>
    <col min="12" max="12" width="11.140625" style="25" customWidth="1"/>
    <col min="13" max="13" width="11.8515625" style="25" customWidth="1"/>
    <col min="14" max="16384" width="9.140625" style="25" customWidth="1"/>
  </cols>
  <sheetData>
    <row r="1" spans="1:14" ht="15.75">
      <c r="A1" s="373"/>
      <c r="B1" s="375" t="s">
        <v>341</v>
      </c>
      <c r="C1" s="373"/>
      <c r="D1" s="373"/>
      <c r="E1" s="373"/>
      <c r="F1" s="373"/>
      <c r="G1" s="373"/>
      <c r="H1" s="373"/>
      <c r="I1" s="373"/>
      <c r="J1" s="373"/>
      <c r="K1" s="18"/>
      <c r="L1" s="374" t="s">
        <v>698</v>
      </c>
      <c r="N1" s="373"/>
    </row>
    <row r="2" spans="1:14" ht="15.75">
      <c r="A2" s="373"/>
      <c r="B2" s="374" t="s">
        <v>697</v>
      </c>
      <c r="C2" s="373"/>
      <c r="D2" s="373"/>
      <c r="E2" s="373"/>
      <c r="F2" s="373"/>
      <c r="G2" s="373"/>
      <c r="H2" s="373"/>
      <c r="I2" s="373"/>
      <c r="J2" s="373"/>
      <c r="K2" s="18"/>
      <c r="L2" s="374"/>
      <c r="N2" s="373"/>
    </row>
    <row r="3" spans="1:14" ht="15.75">
      <c r="A3" s="373"/>
      <c r="B3" s="31" t="s">
        <v>382</v>
      </c>
      <c r="C3" s="22">
        <v>1</v>
      </c>
      <c r="D3" s="32" t="s">
        <v>436</v>
      </c>
      <c r="E3" s="32"/>
      <c r="F3" s="373"/>
      <c r="G3" s="373"/>
      <c r="H3" s="373"/>
      <c r="I3" s="373"/>
      <c r="J3" s="373"/>
      <c r="K3" s="18"/>
      <c r="L3" s="373"/>
      <c r="M3" s="373"/>
      <c r="N3" s="373"/>
    </row>
    <row r="4" spans="1:14" ht="15.75">
      <c r="A4" s="373"/>
      <c r="B4" s="61"/>
      <c r="C4" s="22">
        <v>2</v>
      </c>
      <c r="D4" s="32" t="s">
        <v>475</v>
      </c>
      <c r="E4" s="32"/>
      <c r="F4" s="373"/>
      <c r="G4" s="373"/>
      <c r="H4" s="373"/>
      <c r="I4" s="373"/>
      <c r="J4" s="373"/>
      <c r="K4" s="18"/>
      <c r="L4" s="373"/>
      <c r="M4" s="373"/>
      <c r="N4" s="373"/>
    </row>
    <row r="5" spans="1:14" ht="15.75">
      <c r="A5" s="373"/>
      <c r="B5" s="61"/>
      <c r="C5" s="22">
        <v>3</v>
      </c>
      <c r="D5" s="32" t="s">
        <v>439</v>
      </c>
      <c r="E5" s="32"/>
      <c r="F5" s="373"/>
      <c r="G5" s="373"/>
      <c r="H5" s="373"/>
      <c r="I5" s="373"/>
      <c r="J5" s="373"/>
      <c r="K5" s="18"/>
      <c r="L5" s="373"/>
      <c r="M5" s="373"/>
      <c r="N5" s="373"/>
    </row>
    <row r="6" spans="1:14" ht="15.75">
      <c r="A6" s="373"/>
      <c r="B6" s="375"/>
      <c r="C6" s="373"/>
      <c r="D6" s="373"/>
      <c r="E6" s="373"/>
      <c r="F6" s="373"/>
      <c r="G6" s="373"/>
      <c r="H6" s="373"/>
      <c r="I6" s="373"/>
      <c r="J6" s="373"/>
      <c r="K6" s="18"/>
      <c r="L6" s="373"/>
      <c r="M6" s="373"/>
      <c r="N6" s="373"/>
    </row>
    <row r="7" spans="1:14" ht="30.75" thickBot="1">
      <c r="A7" s="371" t="s">
        <v>721</v>
      </c>
      <c r="B7" s="65" t="s">
        <v>720</v>
      </c>
      <c r="C7" s="67"/>
      <c r="D7" s="67"/>
      <c r="E7" s="67"/>
      <c r="F7" s="67"/>
      <c r="G7" s="67"/>
      <c r="H7" s="67"/>
      <c r="I7" s="67"/>
      <c r="J7" s="67"/>
      <c r="K7" s="67"/>
      <c r="L7" s="395"/>
      <c r="M7" s="67"/>
      <c r="N7" s="67"/>
    </row>
    <row r="8" spans="1:13" ht="41.25" customHeight="1">
      <c r="A8" s="394" t="s">
        <v>719</v>
      </c>
      <c r="B8" s="393" t="s">
        <v>718</v>
      </c>
      <c r="C8" s="393" t="s">
        <v>717</v>
      </c>
      <c r="D8" s="393" t="s">
        <v>716</v>
      </c>
      <c r="E8" s="393" t="s">
        <v>715</v>
      </c>
      <c r="F8" s="393" t="s">
        <v>714</v>
      </c>
      <c r="G8" s="393" t="s">
        <v>713</v>
      </c>
      <c r="H8" s="393" t="s">
        <v>712</v>
      </c>
      <c r="I8" s="393" t="s">
        <v>711</v>
      </c>
      <c r="J8" s="393" t="s">
        <v>710</v>
      </c>
      <c r="K8" s="393" t="s">
        <v>709</v>
      </c>
      <c r="L8" s="393" t="s">
        <v>708</v>
      </c>
      <c r="M8" s="392" t="s">
        <v>396</v>
      </c>
    </row>
    <row r="9" spans="1:13" ht="12.75">
      <c r="A9" s="391" t="s">
        <v>707</v>
      </c>
      <c r="B9" s="390" t="s">
        <v>702</v>
      </c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6"/>
    </row>
    <row r="10" spans="1:13" ht="12.75">
      <c r="A10" s="391"/>
      <c r="B10" s="390" t="s">
        <v>701</v>
      </c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6"/>
    </row>
    <row r="11" spans="1:13" ht="12.75">
      <c r="A11" s="389"/>
      <c r="B11" s="390" t="s">
        <v>700</v>
      </c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6"/>
    </row>
    <row r="12" spans="1:13" ht="12.75">
      <c r="A12" s="389"/>
      <c r="B12" s="390" t="s">
        <v>703</v>
      </c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386"/>
    </row>
    <row r="13" spans="1:13" ht="12.75">
      <c r="A13" s="391" t="s">
        <v>706</v>
      </c>
      <c r="B13" s="390" t="s">
        <v>702</v>
      </c>
      <c r="C13" s="387"/>
      <c r="D13" s="387"/>
      <c r="E13" s="387"/>
      <c r="F13" s="387"/>
      <c r="G13" s="387"/>
      <c r="H13" s="387"/>
      <c r="I13" s="387"/>
      <c r="J13" s="387"/>
      <c r="K13" s="387"/>
      <c r="L13" s="387"/>
      <c r="M13" s="386"/>
    </row>
    <row r="14" spans="1:13" ht="12.75">
      <c r="A14" s="389"/>
      <c r="B14" s="390" t="s">
        <v>701</v>
      </c>
      <c r="C14" s="387"/>
      <c r="D14" s="387"/>
      <c r="E14" s="387"/>
      <c r="F14" s="387"/>
      <c r="G14" s="387"/>
      <c r="H14" s="387"/>
      <c r="I14" s="387"/>
      <c r="J14" s="387"/>
      <c r="K14" s="387"/>
      <c r="L14" s="387"/>
      <c r="M14" s="386"/>
    </row>
    <row r="15" spans="1:13" ht="12.75">
      <c r="A15" s="389"/>
      <c r="B15" s="390" t="s">
        <v>700</v>
      </c>
      <c r="C15" s="387"/>
      <c r="D15" s="387"/>
      <c r="E15" s="387"/>
      <c r="F15" s="387"/>
      <c r="G15" s="387"/>
      <c r="H15" s="387"/>
      <c r="I15" s="387"/>
      <c r="J15" s="387"/>
      <c r="K15" s="387"/>
      <c r="L15" s="387"/>
      <c r="M15" s="386"/>
    </row>
    <row r="16" spans="1:13" ht="12.75">
      <c r="A16" s="389"/>
      <c r="B16" s="390" t="s">
        <v>703</v>
      </c>
      <c r="C16" s="387"/>
      <c r="D16" s="387"/>
      <c r="E16" s="387"/>
      <c r="F16" s="387"/>
      <c r="G16" s="387"/>
      <c r="H16" s="387"/>
      <c r="I16" s="387"/>
      <c r="J16" s="387"/>
      <c r="K16" s="387"/>
      <c r="L16" s="387"/>
      <c r="M16" s="386"/>
    </row>
    <row r="17" spans="1:13" ht="12.75">
      <c r="A17" s="391" t="s">
        <v>705</v>
      </c>
      <c r="B17" s="390" t="s">
        <v>702</v>
      </c>
      <c r="C17" s="387"/>
      <c r="D17" s="387"/>
      <c r="E17" s="387"/>
      <c r="F17" s="387"/>
      <c r="G17" s="387"/>
      <c r="H17" s="387"/>
      <c r="I17" s="387"/>
      <c r="J17" s="387"/>
      <c r="K17" s="387"/>
      <c r="L17" s="387"/>
      <c r="M17" s="386"/>
    </row>
    <row r="18" spans="1:13" ht="12.75">
      <c r="A18" s="389"/>
      <c r="B18" s="390" t="s">
        <v>701</v>
      </c>
      <c r="C18" s="387"/>
      <c r="D18" s="387"/>
      <c r="E18" s="387"/>
      <c r="F18" s="387"/>
      <c r="G18" s="387"/>
      <c r="H18" s="387"/>
      <c r="I18" s="387"/>
      <c r="J18" s="387"/>
      <c r="K18" s="387"/>
      <c r="L18" s="387"/>
      <c r="M18" s="386"/>
    </row>
    <row r="19" spans="1:13" ht="12.75">
      <c r="A19" s="389"/>
      <c r="B19" s="390" t="s">
        <v>700</v>
      </c>
      <c r="C19" s="387"/>
      <c r="D19" s="387"/>
      <c r="E19" s="387"/>
      <c r="F19" s="387"/>
      <c r="G19" s="387"/>
      <c r="H19" s="387"/>
      <c r="I19" s="387"/>
      <c r="J19" s="387"/>
      <c r="K19" s="387"/>
      <c r="L19" s="387"/>
      <c r="M19" s="386"/>
    </row>
    <row r="20" spans="1:13" ht="12.75">
      <c r="A20" s="389"/>
      <c r="B20" s="390" t="s">
        <v>703</v>
      </c>
      <c r="C20" s="387"/>
      <c r="D20" s="387"/>
      <c r="E20" s="387"/>
      <c r="F20" s="387"/>
      <c r="G20" s="387"/>
      <c r="H20" s="387"/>
      <c r="I20" s="387"/>
      <c r="J20" s="387"/>
      <c r="K20" s="387"/>
      <c r="L20" s="387"/>
      <c r="M20" s="386"/>
    </row>
    <row r="21" spans="1:13" ht="12.75">
      <c r="A21" s="391" t="s">
        <v>704</v>
      </c>
      <c r="B21" s="390" t="s">
        <v>702</v>
      </c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86"/>
    </row>
    <row r="22" spans="1:13" ht="12.75">
      <c r="A22" s="391"/>
      <c r="B22" s="390" t="s">
        <v>701</v>
      </c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86"/>
    </row>
    <row r="23" spans="1:13" ht="12.75">
      <c r="A23" s="389"/>
      <c r="B23" s="390" t="s">
        <v>700</v>
      </c>
      <c r="C23" s="387"/>
      <c r="D23" s="387"/>
      <c r="E23" s="387"/>
      <c r="F23" s="387"/>
      <c r="G23" s="387"/>
      <c r="H23" s="387"/>
      <c r="I23" s="387"/>
      <c r="J23" s="387"/>
      <c r="K23" s="387"/>
      <c r="L23" s="387"/>
      <c r="M23" s="386"/>
    </row>
    <row r="24" spans="1:13" ht="12.75">
      <c r="A24" s="389"/>
      <c r="B24" s="390" t="s">
        <v>703</v>
      </c>
      <c r="C24" s="387"/>
      <c r="D24" s="387"/>
      <c r="E24" s="387"/>
      <c r="F24" s="387"/>
      <c r="G24" s="387"/>
      <c r="H24" s="387"/>
      <c r="I24" s="387"/>
      <c r="J24" s="387"/>
      <c r="K24" s="387"/>
      <c r="L24" s="387"/>
      <c r="M24" s="386"/>
    </row>
    <row r="25" spans="1:13" s="41" customFormat="1" ht="12.75">
      <c r="A25" s="389" t="s">
        <v>396</v>
      </c>
      <c r="B25" s="387" t="s">
        <v>702</v>
      </c>
      <c r="C25" s="387"/>
      <c r="D25" s="387"/>
      <c r="E25" s="387"/>
      <c r="F25" s="387"/>
      <c r="G25" s="387"/>
      <c r="H25" s="388"/>
      <c r="I25" s="387"/>
      <c r="J25" s="387"/>
      <c r="K25" s="387"/>
      <c r="L25" s="387"/>
      <c r="M25" s="386"/>
    </row>
    <row r="26" spans="1:13" s="41" customFormat="1" ht="12.75">
      <c r="A26" s="389"/>
      <c r="B26" s="387" t="s">
        <v>701</v>
      </c>
      <c r="C26" s="387"/>
      <c r="D26" s="387"/>
      <c r="E26" s="387"/>
      <c r="F26" s="387"/>
      <c r="G26" s="387"/>
      <c r="H26" s="388"/>
      <c r="I26" s="387"/>
      <c r="J26" s="387"/>
      <c r="K26" s="387"/>
      <c r="L26" s="387"/>
      <c r="M26" s="386"/>
    </row>
    <row r="27" spans="1:13" s="41" customFormat="1" ht="12.75">
      <c r="A27" s="389"/>
      <c r="B27" s="387" t="s">
        <v>700</v>
      </c>
      <c r="C27" s="387"/>
      <c r="D27" s="387"/>
      <c r="E27" s="387"/>
      <c r="F27" s="387"/>
      <c r="G27" s="387"/>
      <c r="H27" s="388"/>
      <c r="I27" s="387"/>
      <c r="J27" s="387"/>
      <c r="K27" s="387"/>
      <c r="L27" s="387"/>
      <c r="M27" s="386"/>
    </row>
    <row r="28" spans="1:13" s="41" customFormat="1" ht="13.5" thickBot="1">
      <c r="A28" s="385"/>
      <c r="B28" s="383" t="s">
        <v>699</v>
      </c>
      <c r="C28" s="383"/>
      <c r="D28" s="383"/>
      <c r="E28" s="383"/>
      <c r="F28" s="383"/>
      <c r="G28" s="383"/>
      <c r="H28" s="384"/>
      <c r="I28" s="383"/>
      <c r="J28" s="383"/>
      <c r="K28" s="383"/>
      <c r="L28" s="383"/>
      <c r="M28" s="382"/>
    </row>
    <row r="33" spans="2:12" ht="15.75">
      <c r="B33" s="375" t="s">
        <v>341</v>
      </c>
      <c r="C33" s="373"/>
      <c r="D33" s="373"/>
      <c r="E33" s="373"/>
      <c r="F33" s="373"/>
      <c r="G33" s="373"/>
      <c r="H33" s="373"/>
      <c r="I33" s="373"/>
      <c r="J33" s="373"/>
      <c r="K33" s="18"/>
      <c r="L33" s="374" t="s">
        <v>698</v>
      </c>
    </row>
    <row r="34" spans="2:12" ht="15.75">
      <c r="B34" s="374" t="s">
        <v>697</v>
      </c>
      <c r="C34" s="373"/>
      <c r="D34" s="373"/>
      <c r="E34" s="373"/>
      <c r="F34" s="373"/>
      <c r="G34" s="373"/>
      <c r="H34" s="373"/>
      <c r="I34" s="373"/>
      <c r="J34" s="373"/>
      <c r="K34" s="18"/>
      <c r="L34" s="374"/>
    </row>
    <row r="35" spans="1:5" ht="12.75">
      <c r="A35" s="31" t="s">
        <v>382</v>
      </c>
      <c r="B35" s="32" t="s">
        <v>744</v>
      </c>
      <c r="C35" s="32"/>
      <c r="D35" s="373"/>
      <c r="E35" s="373"/>
    </row>
    <row r="36" spans="1:4" ht="15.75">
      <c r="A36" s="371" t="s">
        <v>696</v>
      </c>
      <c r="B36" s="65" t="s">
        <v>695</v>
      </c>
      <c r="C36" s="67"/>
      <c r="D36" s="61"/>
    </row>
    <row r="38" spans="1:12" ht="15">
      <c r="A38" s="641" t="s">
        <v>492</v>
      </c>
      <c r="B38" s="641" t="s">
        <v>694</v>
      </c>
      <c r="C38" s="641"/>
      <c r="D38" s="641" t="s">
        <v>693</v>
      </c>
      <c r="E38" s="641"/>
      <c r="F38" s="641" t="s">
        <v>692</v>
      </c>
      <c r="G38" s="641"/>
      <c r="H38" s="641" t="s">
        <v>691</v>
      </c>
      <c r="I38" s="641"/>
      <c r="J38" s="641" t="s">
        <v>690</v>
      </c>
      <c r="K38" s="641"/>
      <c r="L38" s="641"/>
    </row>
    <row r="39" spans="1:12" ht="60">
      <c r="A39" s="641"/>
      <c r="B39" s="381" t="s">
        <v>689</v>
      </c>
      <c r="C39" s="381" t="s">
        <v>688</v>
      </c>
      <c r="D39" s="381" t="s">
        <v>689</v>
      </c>
      <c r="E39" s="381" t="s">
        <v>688</v>
      </c>
      <c r="F39" s="381" t="s">
        <v>689</v>
      </c>
      <c r="G39" s="381" t="s">
        <v>741</v>
      </c>
      <c r="H39" s="381" t="s">
        <v>689</v>
      </c>
      <c r="I39" s="381" t="s">
        <v>741</v>
      </c>
      <c r="J39" s="381" t="s">
        <v>689</v>
      </c>
      <c r="K39" s="381" t="s">
        <v>741</v>
      </c>
      <c r="L39" s="381" t="s">
        <v>687</v>
      </c>
    </row>
    <row r="40" spans="1:12" ht="14.25">
      <c r="A40" s="216" t="s">
        <v>677</v>
      </c>
      <c r="B40" s="261">
        <f>3557100/10^6</f>
        <v>3.5571</v>
      </c>
      <c r="C40" s="261">
        <f>24301100/10^7</f>
        <v>2.43011</v>
      </c>
      <c r="D40" s="261">
        <f>146976703/10^6</f>
        <v>146.976703</v>
      </c>
      <c r="E40" s="261">
        <f>871863546/10^7</f>
        <v>87.1863546</v>
      </c>
      <c r="F40" s="261">
        <v>0</v>
      </c>
      <c r="G40" s="261">
        <v>0</v>
      </c>
      <c r="H40" s="261">
        <v>0</v>
      </c>
      <c r="I40" s="261">
        <v>0</v>
      </c>
      <c r="J40" s="261">
        <f aca="true" t="shared" si="0" ref="J40:J51">B40+D40+F40+H40</f>
        <v>150.53380299999998</v>
      </c>
      <c r="K40" s="261">
        <f aca="true" t="shared" si="1" ref="K40:K51">C40+E40+G40+I40</f>
        <v>89.6164646</v>
      </c>
      <c r="L40" s="261">
        <f aca="true" t="shared" si="2" ref="L40:L51">K40*1000/J40</f>
        <v>595.3245238878342</v>
      </c>
    </row>
    <row r="41" spans="1:12" ht="14.25">
      <c r="A41" s="216" t="s">
        <v>676</v>
      </c>
      <c r="B41" s="261"/>
      <c r="C41" s="261"/>
      <c r="D41" s="261">
        <f>188825353/10^6</f>
        <v>188.825353</v>
      </c>
      <c r="E41" s="261">
        <f>1024498249/10^7</f>
        <v>102.4498249</v>
      </c>
      <c r="F41" s="261">
        <v>0</v>
      </c>
      <c r="G41" s="261">
        <v>0</v>
      </c>
      <c r="H41" s="261">
        <v>0</v>
      </c>
      <c r="I41" s="261">
        <v>0</v>
      </c>
      <c r="J41" s="261">
        <f t="shared" si="0"/>
        <v>188.825353</v>
      </c>
      <c r="K41" s="261">
        <f t="shared" si="1"/>
        <v>102.4498249</v>
      </c>
      <c r="L41" s="261">
        <f t="shared" si="2"/>
        <v>542.563926254119</v>
      </c>
    </row>
    <row r="42" spans="1:12" ht="14.25">
      <c r="A42" s="216" t="s">
        <v>675</v>
      </c>
      <c r="B42" s="261">
        <f>10295680/10^6</f>
        <v>10.29568</v>
      </c>
      <c r="C42" s="261">
        <f>54225504/10^7</f>
        <v>5.4225504</v>
      </c>
      <c r="D42" s="261">
        <f>149774917/10^6</f>
        <v>149.774917</v>
      </c>
      <c r="E42" s="261">
        <f>808784554/10^7</f>
        <v>80.8784554</v>
      </c>
      <c r="F42" s="261">
        <v>0</v>
      </c>
      <c r="G42" s="261">
        <v>0</v>
      </c>
      <c r="H42" s="261">
        <v>0</v>
      </c>
      <c r="I42" s="261">
        <v>0</v>
      </c>
      <c r="J42" s="261">
        <f t="shared" si="0"/>
        <v>160.070597</v>
      </c>
      <c r="K42" s="261">
        <f t="shared" si="1"/>
        <v>86.30100580000001</v>
      </c>
      <c r="L42" s="261">
        <f t="shared" si="2"/>
        <v>539.1433993339828</v>
      </c>
    </row>
    <row r="43" spans="1:12" ht="14.25">
      <c r="A43" s="216" t="s">
        <v>674</v>
      </c>
      <c r="B43" s="261">
        <f>54809401/10^6</f>
        <v>54.809401</v>
      </c>
      <c r="C43" s="261">
        <f>285008884/10^7</f>
        <v>28.5008884</v>
      </c>
      <c r="D43" s="261">
        <f>148965883/10^6</f>
        <v>148.965883</v>
      </c>
      <c r="E43" s="261">
        <f>774621891/10^7</f>
        <v>77.4621891</v>
      </c>
      <c r="F43" s="261">
        <v>0</v>
      </c>
      <c r="G43" s="261">
        <v>0</v>
      </c>
      <c r="H43" s="261">
        <v>0</v>
      </c>
      <c r="I43" s="261">
        <v>0</v>
      </c>
      <c r="J43" s="261">
        <f t="shared" si="0"/>
        <v>203.775284</v>
      </c>
      <c r="K43" s="261">
        <f t="shared" si="1"/>
        <v>105.9630775</v>
      </c>
      <c r="L43" s="261">
        <f t="shared" si="2"/>
        <v>519.9996556010198</v>
      </c>
    </row>
    <row r="44" spans="1:12" ht="14.25">
      <c r="A44" s="216" t="s">
        <v>673</v>
      </c>
      <c r="B44" s="261">
        <f>304105/10^6</f>
        <v>0.304105</v>
      </c>
      <c r="C44" s="261">
        <f>881906/10^7</f>
        <v>0.0881906</v>
      </c>
      <c r="D44" s="261">
        <f>8785247/10^6</f>
        <v>8.785247</v>
      </c>
      <c r="E44" s="261">
        <f>45683287/10^7</f>
        <v>4.5683287</v>
      </c>
      <c r="F44" s="261">
        <v>2.569743</v>
      </c>
      <c r="G44" s="261">
        <v>0.6421141</v>
      </c>
      <c r="H44" s="261">
        <v>0</v>
      </c>
      <c r="I44" s="261">
        <v>0</v>
      </c>
      <c r="J44" s="261">
        <f t="shared" si="0"/>
        <v>11.659095</v>
      </c>
      <c r="K44" s="261">
        <f t="shared" si="1"/>
        <v>5.2986334</v>
      </c>
      <c r="L44" s="261">
        <f t="shared" si="2"/>
        <v>454.4635239699136</v>
      </c>
    </row>
    <row r="45" spans="1:12" ht="14.25">
      <c r="A45" s="216" t="s">
        <v>672</v>
      </c>
      <c r="B45" s="261">
        <f>41946388/10^6</f>
        <v>41.946388</v>
      </c>
      <c r="C45" s="261">
        <f>153321216/10^7</f>
        <v>15.3321216</v>
      </c>
      <c r="D45" s="261">
        <f>69176058/10^6</f>
        <v>69.176058</v>
      </c>
      <c r="E45" s="261">
        <f>358625241/10^7</f>
        <v>35.8625241</v>
      </c>
      <c r="F45" s="261">
        <f>(77521542.5+9872000)/10^6</f>
        <v>87.3935425</v>
      </c>
      <c r="G45" s="261">
        <f>(230226128.9+33964092.76)/10^7</f>
        <v>26.419022166</v>
      </c>
      <c r="H45" s="261">
        <f>(4914298+10145000)/10^6</f>
        <v>15.059298</v>
      </c>
      <c r="I45" s="261">
        <f>(15281838.15+35981332.6)/10^7</f>
        <v>5.126317075</v>
      </c>
      <c r="J45" s="261">
        <f t="shared" si="0"/>
        <v>213.5752865</v>
      </c>
      <c r="K45" s="261">
        <f t="shared" si="1"/>
        <v>82.739984941</v>
      </c>
      <c r="L45" s="261">
        <f t="shared" si="2"/>
        <v>387.4043027024103</v>
      </c>
    </row>
    <row r="46" spans="1:12" ht="14.25">
      <c r="A46" s="216" t="s">
        <v>671</v>
      </c>
      <c r="B46" s="261">
        <f>13753098/10^6</f>
        <v>13.753098</v>
      </c>
      <c r="C46" s="261">
        <f>71516108/10^7</f>
        <v>7.1516108</v>
      </c>
      <c r="D46" s="261">
        <f>21451414/10^6</f>
        <v>21.451414</v>
      </c>
      <c r="E46" s="261">
        <f>110891980/10^7</f>
        <v>11.089198</v>
      </c>
      <c r="F46" s="261">
        <f>(114536832.5+5636000)/10^6</f>
        <v>120.1728325</v>
      </c>
      <c r="G46" s="261">
        <f>(264130161.2+17795984.32)/10^7</f>
        <v>28.192614552</v>
      </c>
      <c r="H46" s="261">
        <f>(18754510+190000)/10^6</f>
        <v>18.94451</v>
      </c>
      <c r="I46" s="261">
        <f>(41042802.94+659021)/10^7</f>
        <v>4.170182393999999</v>
      </c>
      <c r="J46" s="261">
        <f t="shared" si="0"/>
        <v>174.3218545</v>
      </c>
      <c r="K46" s="261">
        <f t="shared" si="1"/>
        <v>50.603605746</v>
      </c>
      <c r="L46" s="261">
        <f t="shared" si="2"/>
        <v>290.2883628168378</v>
      </c>
    </row>
    <row r="47" spans="1:12" ht="14.25">
      <c r="A47" s="216" t="s">
        <v>670</v>
      </c>
      <c r="B47" s="261">
        <f>39984390/10^6</f>
        <v>39.98439</v>
      </c>
      <c r="C47" s="261">
        <f>142282333/10^7</f>
        <v>14.2282333</v>
      </c>
      <c r="D47" s="261">
        <f>2162229/10^6</f>
        <v>2.162229</v>
      </c>
      <c r="E47" s="261">
        <f>11243591/10^7</f>
        <v>1.1243591</v>
      </c>
      <c r="F47" s="261">
        <f>(128628327.5+4940000)/10^6</f>
        <v>133.5683275</v>
      </c>
      <c r="G47" s="261">
        <f>(282096247.9+17253554.32)/10^7</f>
        <v>29.934980221999997</v>
      </c>
      <c r="H47" s="261">
        <f>(32451403+200000)/10^6</f>
        <v>32.651403</v>
      </c>
      <c r="I47" s="261">
        <f>(82476229.96+785285)/10^7</f>
        <v>8.326151496</v>
      </c>
      <c r="J47" s="261">
        <f t="shared" si="0"/>
        <v>208.3663495</v>
      </c>
      <c r="K47" s="261">
        <f t="shared" si="1"/>
        <v>53.613724118</v>
      </c>
      <c r="L47" s="261">
        <f t="shared" si="2"/>
        <v>257.3050986718947</v>
      </c>
    </row>
    <row r="48" spans="1:12" ht="14.25">
      <c r="A48" s="216" t="s">
        <v>669</v>
      </c>
      <c r="B48" s="261">
        <f>9178300/10^6</f>
        <v>9.1783</v>
      </c>
      <c r="C48" s="261">
        <f>47727159/10^7</f>
        <v>4.7727159</v>
      </c>
      <c r="D48" s="261">
        <f>9244117/10^6</f>
        <v>9.244117</v>
      </c>
      <c r="E48" s="261">
        <f>47431553/10^7</f>
        <v>4.7431553</v>
      </c>
      <c r="F48" s="261">
        <f>(56543365+900000)/10^6</f>
        <v>57.443365</v>
      </c>
      <c r="G48" s="261">
        <f>(192998042.1+3728784.8)/10^7</f>
        <v>19.672682690000002</v>
      </c>
      <c r="H48" s="261">
        <f>(11710538+2150000)/10^6</f>
        <v>13.860538</v>
      </c>
      <c r="I48" s="261">
        <f>(43371110.87+8670320)/10^7</f>
        <v>5.204143086999999</v>
      </c>
      <c r="J48" s="261">
        <f t="shared" si="0"/>
        <v>89.72632</v>
      </c>
      <c r="K48" s="261">
        <f t="shared" si="1"/>
        <v>34.392696977</v>
      </c>
      <c r="L48" s="261">
        <f t="shared" si="2"/>
        <v>383.3066705176363</v>
      </c>
    </row>
    <row r="49" spans="1:12" ht="14.25">
      <c r="A49" s="216" t="s">
        <v>668</v>
      </c>
      <c r="B49" s="261">
        <v>0</v>
      </c>
      <c r="C49" s="261">
        <v>0</v>
      </c>
      <c r="D49" s="261">
        <v>0</v>
      </c>
      <c r="E49" s="261">
        <v>0</v>
      </c>
      <c r="F49" s="261">
        <f>(19762280+6180000)/10^6</f>
        <v>25.94228</v>
      </c>
      <c r="G49" s="261">
        <f>(64107962.58+23134636.72)/10^7</f>
        <v>8.72425993</v>
      </c>
      <c r="H49" s="261">
        <f>9232563/10^6</f>
        <v>9.232563</v>
      </c>
      <c r="I49" s="261">
        <f>33193844.09/10^7</f>
        <v>3.319384409</v>
      </c>
      <c r="J49" s="261">
        <f t="shared" si="0"/>
        <v>35.174843</v>
      </c>
      <c r="K49" s="261">
        <f t="shared" si="1"/>
        <v>12.043644339</v>
      </c>
      <c r="L49" s="261">
        <f t="shared" si="2"/>
        <v>342.39369139472774</v>
      </c>
    </row>
    <row r="50" spans="1:12" ht="14.25">
      <c r="A50" s="216" t="s">
        <v>667</v>
      </c>
      <c r="B50" s="261">
        <f>13671750/10^6</f>
        <v>13.67175</v>
      </c>
      <c r="C50" s="261">
        <f>48720560/10^7</f>
        <v>4.872056</v>
      </c>
      <c r="D50" s="261">
        <v>0</v>
      </c>
      <c r="E50" s="261">
        <v>0</v>
      </c>
      <c r="F50" s="261">
        <f>(54132507.5+3687500)/10^6</f>
        <v>57.8200075</v>
      </c>
      <c r="G50" s="261">
        <f>(178944386.4+12868690.6)/10^7</f>
        <v>19.1813077</v>
      </c>
      <c r="H50" s="261">
        <f>(1492370+855500)/10^6</f>
        <v>2.34787</v>
      </c>
      <c r="I50" s="261">
        <f>(4681807.36+3011986.2)/10^7</f>
        <v>0.7693793560000001</v>
      </c>
      <c r="J50" s="261">
        <f t="shared" si="0"/>
        <v>73.8396275</v>
      </c>
      <c r="K50" s="261">
        <f t="shared" si="1"/>
        <v>24.822743056000004</v>
      </c>
      <c r="L50" s="261">
        <f t="shared" si="2"/>
        <v>336.1710222061995</v>
      </c>
    </row>
    <row r="51" spans="1:12" ht="14.25">
      <c r="A51" s="216" t="s">
        <v>666</v>
      </c>
      <c r="B51" s="261">
        <f>160000/10^6</f>
        <v>0.16</v>
      </c>
      <c r="C51" s="261">
        <f>563656/10^7</f>
        <v>0.0563656</v>
      </c>
      <c r="D51" s="261">
        <v>0</v>
      </c>
      <c r="E51" s="261">
        <v>0</v>
      </c>
      <c r="F51" s="261">
        <f>(42204063+4640000)/10^6</f>
        <v>46.844063</v>
      </c>
      <c r="G51" s="261">
        <f>(120324598+15698054)/10^7</f>
        <v>13.6022652</v>
      </c>
      <c r="H51" s="261">
        <f>(8443873+100000)/10^6</f>
        <v>8.543873</v>
      </c>
      <c r="I51" s="261">
        <f>(24207035+331413)/10^7</f>
        <v>2.4538448</v>
      </c>
      <c r="J51" s="261">
        <f t="shared" si="0"/>
        <v>55.54793599999999</v>
      </c>
      <c r="K51" s="261">
        <f t="shared" si="1"/>
        <v>16.1124756</v>
      </c>
      <c r="L51" s="261">
        <f t="shared" si="2"/>
        <v>290.06434370486784</v>
      </c>
    </row>
    <row r="52" spans="1:12" ht="15.75">
      <c r="A52" s="377" t="s">
        <v>381</v>
      </c>
      <c r="B52" s="262">
        <f aca="true" t="shared" si="3" ref="B52:K52">SUM(B40:B51)</f>
        <v>187.660212</v>
      </c>
      <c r="C52" s="262">
        <f t="shared" si="3"/>
        <v>82.8548426</v>
      </c>
      <c r="D52" s="262">
        <f t="shared" si="3"/>
        <v>745.3619209999999</v>
      </c>
      <c r="E52" s="262">
        <f t="shared" si="3"/>
        <v>405.3643892</v>
      </c>
      <c r="F52" s="262">
        <f t="shared" si="3"/>
        <v>531.754161</v>
      </c>
      <c r="G52" s="262">
        <f t="shared" si="3"/>
        <v>146.36924656</v>
      </c>
      <c r="H52" s="262">
        <f t="shared" si="3"/>
        <v>100.64005500000002</v>
      </c>
      <c r="I52" s="262">
        <f t="shared" si="3"/>
        <v>29.369402617</v>
      </c>
      <c r="J52" s="262">
        <f t="shared" si="3"/>
        <v>1565.4163489999999</v>
      </c>
      <c r="K52" s="262">
        <f t="shared" si="3"/>
        <v>663.9578809770002</v>
      </c>
      <c r="L52" s="262">
        <f>K52/J52*1000</f>
        <v>424.1413994437592</v>
      </c>
    </row>
    <row r="53" spans="1:4" ht="15.75">
      <c r="A53" s="371" t="s">
        <v>696</v>
      </c>
      <c r="B53" s="65" t="s">
        <v>686</v>
      </c>
      <c r="C53" s="67"/>
      <c r="D53" s="61"/>
    </row>
    <row r="54" spans="1:12" ht="15">
      <c r="A54" s="641" t="s">
        <v>492</v>
      </c>
      <c r="B54" s="641" t="s">
        <v>694</v>
      </c>
      <c r="C54" s="641"/>
      <c r="D54" s="641" t="s">
        <v>693</v>
      </c>
      <c r="E54" s="641"/>
      <c r="F54" s="641" t="s">
        <v>692</v>
      </c>
      <c r="G54" s="641"/>
      <c r="H54" s="641" t="s">
        <v>691</v>
      </c>
      <c r="I54" s="641"/>
      <c r="J54" s="641" t="s">
        <v>742</v>
      </c>
      <c r="K54" s="641"/>
      <c r="L54" s="641"/>
    </row>
    <row r="55" spans="1:12" ht="57" customHeight="1">
      <c r="A55" s="641"/>
      <c r="B55" s="381" t="s">
        <v>689</v>
      </c>
      <c r="C55" s="381" t="s">
        <v>741</v>
      </c>
      <c r="D55" s="381" t="s">
        <v>689</v>
      </c>
      <c r="E55" s="381" t="s">
        <v>741</v>
      </c>
      <c r="F55" s="381" t="s">
        <v>689</v>
      </c>
      <c r="G55" s="381" t="s">
        <v>741</v>
      </c>
      <c r="H55" s="381" t="s">
        <v>689</v>
      </c>
      <c r="I55" s="381" t="s">
        <v>741</v>
      </c>
      <c r="J55" s="381" t="s">
        <v>689</v>
      </c>
      <c r="K55" s="381" t="s">
        <v>741</v>
      </c>
      <c r="L55" s="381" t="s">
        <v>687</v>
      </c>
    </row>
    <row r="56" spans="1:12" ht="15">
      <c r="A56" s="216" t="s">
        <v>677</v>
      </c>
      <c r="B56" s="362"/>
      <c r="C56" s="362"/>
      <c r="D56" s="362"/>
      <c r="E56" s="362"/>
      <c r="F56" s="378">
        <f>(1158750+840000)/10^6</f>
        <v>1.99875</v>
      </c>
      <c r="G56" s="378">
        <f>(3494132+2758341)/10^7</f>
        <v>0.6252473</v>
      </c>
      <c r="H56" s="378">
        <f>1230000/10^6</f>
        <v>1.23</v>
      </c>
      <c r="I56" s="378">
        <f>4268171/10^7</f>
        <v>0.4268171</v>
      </c>
      <c r="J56" s="378">
        <f aca="true" t="shared" si="4" ref="J56:K58">B56+D56+F56+H56</f>
        <v>3.22875</v>
      </c>
      <c r="K56" s="378">
        <f t="shared" si="4"/>
        <v>1.0520644</v>
      </c>
      <c r="L56" s="378">
        <f>K56*1000/J56</f>
        <v>325.8426325977546</v>
      </c>
    </row>
    <row r="57" spans="1:12" ht="15">
      <c r="A57" s="216" t="s">
        <v>676</v>
      </c>
      <c r="B57" s="362"/>
      <c r="C57" s="362"/>
      <c r="D57" s="362"/>
      <c r="E57" s="362"/>
      <c r="F57" s="378">
        <f>1000000/10^6</f>
        <v>1</v>
      </c>
      <c r="G57" s="378">
        <f>3151472/10^7</f>
        <v>0.3151472</v>
      </c>
      <c r="H57" s="378">
        <f>800000/10^6</f>
        <v>0.8</v>
      </c>
      <c r="I57" s="378">
        <f>2577778/10^7</f>
        <v>0.2577778</v>
      </c>
      <c r="J57" s="378">
        <f t="shared" si="4"/>
        <v>1.8</v>
      </c>
      <c r="K57" s="378">
        <f t="shared" si="4"/>
        <v>0.572925</v>
      </c>
      <c r="L57" s="378">
        <f>K57*1000/J57</f>
        <v>318.2916666666667</v>
      </c>
    </row>
    <row r="58" spans="1:12" ht="15">
      <c r="A58" s="216" t="s">
        <v>675</v>
      </c>
      <c r="B58" s="362"/>
      <c r="C58" s="362"/>
      <c r="D58" s="362"/>
      <c r="E58" s="362"/>
      <c r="F58" s="378">
        <f>(3894750+5070000)/10^6</f>
        <v>8.96475</v>
      </c>
      <c r="G58" s="378">
        <f>(11320110+15368726)/10^7</f>
        <v>2.6688836</v>
      </c>
      <c r="H58" s="378">
        <f>2100000/10^6</f>
        <v>2.1</v>
      </c>
      <c r="I58" s="378">
        <f>5860421/10^7</f>
        <v>0.5860421</v>
      </c>
      <c r="J58" s="378">
        <f t="shared" si="4"/>
        <v>11.06475</v>
      </c>
      <c r="K58" s="378">
        <f t="shared" si="4"/>
        <v>3.2549257000000003</v>
      </c>
      <c r="L58" s="378">
        <f>K58*1000/J58</f>
        <v>294.170740414379</v>
      </c>
    </row>
    <row r="59" spans="1:12" ht="15">
      <c r="A59" s="216" t="s">
        <v>674</v>
      </c>
      <c r="B59" s="362"/>
      <c r="C59" s="362"/>
      <c r="D59" s="362"/>
      <c r="E59" s="362"/>
      <c r="F59" s="378"/>
      <c r="G59" s="378"/>
      <c r="H59" s="378"/>
      <c r="I59" s="378"/>
      <c r="J59" s="378"/>
      <c r="K59" s="378"/>
      <c r="L59" s="378"/>
    </row>
    <row r="60" spans="1:12" ht="15">
      <c r="A60" s="216" t="s">
        <v>673</v>
      </c>
      <c r="B60" s="362"/>
      <c r="C60" s="362"/>
      <c r="D60" s="362"/>
      <c r="E60" s="362"/>
      <c r="F60" s="362"/>
      <c r="G60" s="362"/>
      <c r="H60" s="362"/>
      <c r="I60" s="362"/>
      <c r="J60" s="362"/>
      <c r="K60" s="362"/>
      <c r="L60" s="362"/>
    </row>
    <row r="61" spans="1:12" ht="15">
      <c r="A61" s="216" t="s">
        <v>672</v>
      </c>
      <c r="B61" s="362"/>
      <c r="C61" s="362"/>
      <c r="D61" s="362"/>
      <c r="E61" s="362"/>
      <c r="F61" s="362"/>
      <c r="G61" s="362"/>
      <c r="H61" s="362"/>
      <c r="I61" s="362"/>
      <c r="J61" s="362"/>
      <c r="K61" s="362"/>
      <c r="L61" s="362"/>
    </row>
    <row r="62" spans="1:12" ht="15">
      <c r="A62" s="216" t="s">
        <v>671</v>
      </c>
      <c r="B62" s="362"/>
      <c r="C62" s="362"/>
      <c r="D62" s="362"/>
      <c r="E62" s="362"/>
      <c r="F62" s="362"/>
      <c r="G62" s="362"/>
      <c r="H62" s="362"/>
      <c r="I62" s="362"/>
      <c r="J62" s="362"/>
      <c r="K62" s="362"/>
      <c r="L62" s="362"/>
    </row>
    <row r="63" spans="1:12" ht="15">
      <c r="A63" s="216" t="s">
        <v>670</v>
      </c>
      <c r="B63" s="362"/>
      <c r="C63" s="362"/>
      <c r="D63" s="362"/>
      <c r="E63" s="362"/>
      <c r="F63" s="362"/>
      <c r="G63" s="362"/>
      <c r="H63" s="362"/>
      <c r="I63" s="362"/>
      <c r="J63" s="362"/>
      <c r="K63" s="362"/>
      <c r="L63" s="362"/>
    </row>
    <row r="64" spans="1:12" ht="15">
      <c r="A64" s="216" t="s">
        <v>669</v>
      </c>
      <c r="B64" s="362"/>
      <c r="C64" s="362"/>
      <c r="D64" s="362"/>
      <c r="E64" s="362"/>
      <c r="F64" s="362"/>
      <c r="G64" s="362"/>
      <c r="H64" s="362"/>
      <c r="I64" s="362"/>
      <c r="J64" s="362"/>
      <c r="K64" s="362"/>
      <c r="L64" s="362"/>
    </row>
    <row r="65" spans="1:12" ht="15">
      <c r="A65" s="216" t="s">
        <v>668</v>
      </c>
      <c r="B65" s="362"/>
      <c r="C65" s="362"/>
      <c r="D65" s="362"/>
      <c r="E65" s="362"/>
      <c r="F65" s="362"/>
      <c r="G65" s="362"/>
      <c r="H65" s="362"/>
      <c r="I65" s="362"/>
      <c r="J65" s="362"/>
      <c r="K65" s="362"/>
      <c r="L65" s="362"/>
    </row>
    <row r="66" spans="1:12" ht="15">
      <c r="A66" s="216" t="s">
        <v>667</v>
      </c>
      <c r="B66" s="362"/>
      <c r="C66" s="362"/>
      <c r="D66" s="362"/>
      <c r="E66" s="362"/>
      <c r="F66" s="362"/>
      <c r="G66" s="362"/>
      <c r="H66" s="362"/>
      <c r="I66" s="362"/>
      <c r="J66" s="362"/>
      <c r="K66" s="362"/>
      <c r="L66" s="362"/>
    </row>
    <row r="67" spans="1:12" ht="15">
      <c r="A67" s="216" t="s">
        <v>666</v>
      </c>
      <c r="B67" s="362"/>
      <c r="C67" s="362"/>
      <c r="D67" s="362"/>
      <c r="E67" s="362"/>
      <c r="F67" s="362"/>
      <c r="G67" s="362"/>
      <c r="H67" s="362"/>
      <c r="I67" s="362"/>
      <c r="J67" s="362"/>
      <c r="K67" s="362"/>
      <c r="L67" s="362"/>
    </row>
    <row r="68" spans="1:12" ht="15.75">
      <c r="A68" s="377" t="s">
        <v>381</v>
      </c>
      <c r="B68" s="361">
        <f aca="true" t="shared" si="5" ref="B68:K68">SUM(B56:B67)</f>
        <v>0</v>
      </c>
      <c r="C68" s="361">
        <f t="shared" si="5"/>
        <v>0</v>
      </c>
      <c r="D68" s="361">
        <f t="shared" si="5"/>
        <v>0</v>
      </c>
      <c r="E68" s="361">
        <f t="shared" si="5"/>
        <v>0</v>
      </c>
      <c r="F68" s="376">
        <f t="shared" si="5"/>
        <v>11.9635</v>
      </c>
      <c r="G68" s="376">
        <f t="shared" si="5"/>
        <v>3.6092781</v>
      </c>
      <c r="H68" s="361">
        <f t="shared" si="5"/>
        <v>4.130000000000001</v>
      </c>
      <c r="I68" s="376">
        <f t="shared" si="5"/>
        <v>1.270637</v>
      </c>
      <c r="J68" s="376">
        <f t="shared" si="5"/>
        <v>16.0935</v>
      </c>
      <c r="K68" s="376">
        <f t="shared" si="5"/>
        <v>4.8799151</v>
      </c>
      <c r="L68" s="376">
        <f>K68/J68*1000</f>
        <v>303.22273588715944</v>
      </c>
    </row>
    <row r="71" spans="2:12" ht="15.75">
      <c r="B71" s="375" t="s">
        <v>341</v>
      </c>
      <c r="C71" s="373"/>
      <c r="D71" s="373"/>
      <c r="E71" s="373"/>
      <c r="F71" s="373"/>
      <c r="G71" s="373"/>
      <c r="H71" s="373"/>
      <c r="I71" s="373"/>
      <c r="J71" s="373"/>
      <c r="K71" s="18"/>
      <c r="L71" s="374" t="s">
        <v>698</v>
      </c>
    </row>
    <row r="72" spans="2:12" ht="15.75">
      <c r="B72" s="374" t="s">
        <v>697</v>
      </c>
      <c r="C72" s="373"/>
      <c r="D72" s="373"/>
      <c r="E72" s="373"/>
      <c r="F72" s="373"/>
      <c r="G72" s="373"/>
      <c r="H72" s="373"/>
      <c r="I72" s="373"/>
      <c r="J72" s="373"/>
      <c r="K72" s="18"/>
      <c r="L72" s="374"/>
    </row>
    <row r="73" spans="1:5" ht="12.75">
      <c r="A73" s="31" t="s">
        <v>382</v>
      </c>
      <c r="B73" s="32" t="s">
        <v>743</v>
      </c>
      <c r="C73" s="32"/>
      <c r="D73" s="373"/>
      <c r="E73" s="373"/>
    </row>
    <row r="75" spans="1:4" ht="15.75">
      <c r="A75" s="371" t="s">
        <v>696</v>
      </c>
      <c r="B75" s="65" t="s">
        <v>695</v>
      </c>
      <c r="C75" s="420"/>
      <c r="D75" s="61"/>
    </row>
    <row r="77" spans="1:13" s="396" customFormat="1" ht="28.5" customHeight="1">
      <c r="A77" s="641" t="s">
        <v>492</v>
      </c>
      <c r="B77" s="641" t="s">
        <v>694</v>
      </c>
      <c r="C77" s="641"/>
      <c r="D77" s="641" t="s">
        <v>693</v>
      </c>
      <c r="E77" s="641"/>
      <c r="F77" s="641" t="s">
        <v>692</v>
      </c>
      <c r="G77" s="641"/>
      <c r="H77" s="641" t="s">
        <v>691</v>
      </c>
      <c r="I77" s="641"/>
      <c r="J77" s="641" t="s">
        <v>690</v>
      </c>
      <c r="K77" s="641"/>
      <c r="L77" s="641"/>
      <c r="M77" s="372"/>
    </row>
    <row r="78" spans="1:13" s="396" customFormat="1" ht="57" customHeight="1">
      <c r="A78" s="641"/>
      <c r="B78" s="381" t="s">
        <v>689</v>
      </c>
      <c r="C78" s="381" t="s">
        <v>688</v>
      </c>
      <c r="D78" s="381" t="s">
        <v>689</v>
      </c>
      <c r="E78" s="381" t="s">
        <v>688</v>
      </c>
      <c r="F78" s="381" t="s">
        <v>689</v>
      </c>
      <c r="G78" s="381" t="s">
        <v>741</v>
      </c>
      <c r="H78" s="381" t="s">
        <v>689</v>
      </c>
      <c r="I78" s="381" t="s">
        <v>741</v>
      </c>
      <c r="J78" s="381" t="s">
        <v>689</v>
      </c>
      <c r="K78" s="381" t="s">
        <v>741</v>
      </c>
      <c r="L78" s="381" t="s">
        <v>687</v>
      </c>
      <c r="M78" s="372"/>
    </row>
    <row r="79" spans="1:15" ht="25.5" customHeight="1">
      <c r="A79" s="216" t="s">
        <v>723</v>
      </c>
      <c r="B79" s="378">
        <f>200000/10^6</f>
        <v>0.2</v>
      </c>
      <c r="C79" s="378">
        <f>663380/10^7</f>
        <v>0.066338</v>
      </c>
      <c r="D79" s="378">
        <f>488462/10^6</f>
        <v>0.488462</v>
      </c>
      <c r="E79" s="380">
        <f>2726188/10^7</f>
        <v>0.2726188</v>
      </c>
      <c r="F79" s="378">
        <f>(33806940+4545000)/10^6</f>
        <v>38.35194</v>
      </c>
      <c r="G79" s="378">
        <f>(119598107+16148570)/10^7</f>
        <v>13.5746677</v>
      </c>
      <c r="H79" s="378">
        <f>6116370/10^6</f>
        <v>6.11637</v>
      </c>
      <c r="I79" s="378">
        <f>19226832/10^7</f>
        <v>1.9226832</v>
      </c>
      <c r="J79" s="378">
        <f aca="true" t="shared" si="6" ref="J79:K85">B79+D79+F79+H79</f>
        <v>45.156772000000004</v>
      </c>
      <c r="K79" s="378">
        <f t="shared" si="6"/>
        <v>15.836307699999999</v>
      </c>
      <c r="L79" s="378">
        <f aca="true" t="shared" si="7" ref="L79:L85">K79*1000/J79</f>
        <v>350.69618572381563</v>
      </c>
      <c r="O79" s="61" t="s">
        <v>591</v>
      </c>
    </row>
    <row r="80" spans="1:12" ht="25.5" customHeight="1">
      <c r="A80" s="216" t="s">
        <v>724</v>
      </c>
      <c r="B80" s="378">
        <f>1267355/10^6</f>
        <v>1.267355</v>
      </c>
      <c r="C80" s="378">
        <f>6590245/10^7</f>
        <v>0.6590245</v>
      </c>
      <c r="D80" s="378">
        <f>2996380/10^6</f>
        <v>2.99638</v>
      </c>
      <c r="E80" s="378">
        <f>14247043.6/10^7</f>
        <v>1.42470436</v>
      </c>
      <c r="F80" s="378">
        <f>(20219980+3019000)/10^6</f>
        <v>23.23898</v>
      </c>
      <c r="G80" s="378">
        <f>(72033597+10407553)/10^7</f>
        <v>8.244115</v>
      </c>
      <c r="H80" s="378">
        <f>(5075930+350000)/10^6</f>
        <v>5.42593</v>
      </c>
      <c r="I80" s="378">
        <f>(17927956+1354300)/10^7</f>
        <v>1.9282256</v>
      </c>
      <c r="J80" s="378">
        <f t="shared" si="6"/>
        <v>32.928645</v>
      </c>
      <c r="K80" s="378">
        <f t="shared" si="6"/>
        <v>12.25606946</v>
      </c>
      <c r="L80" s="378">
        <f t="shared" si="7"/>
        <v>372.20084397642233</v>
      </c>
    </row>
    <row r="81" spans="1:12" ht="25.5" customHeight="1">
      <c r="A81" s="216" t="s">
        <v>725</v>
      </c>
      <c r="B81" s="378">
        <f>80337141/10^6</f>
        <v>80.337141</v>
      </c>
      <c r="C81" s="378">
        <f>417753135/10^7</f>
        <v>41.7753135</v>
      </c>
      <c r="D81" s="378">
        <f>91840356/10^6</f>
        <v>91.840356</v>
      </c>
      <c r="E81" s="378">
        <f>418725123/10^7</f>
        <v>41.8725123</v>
      </c>
      <c r="F81" s="378">
        <f>(23389603+2270000)/10^6</f>
        <v>25.659603</v>
      </c>
      <c r="G81" s="378">
        <f>(96133391+9821602)/10^7</f>
        <v>10.5954993</v>
      </c>
      <c r="H81" s="378">
        <f>(3879700+737500)/10^6</f>
        <v>4.6172</v>
      </c>
      <c r="I81" s="378">
        <f>(13925005+2801828)/10^7</f>
        <v>1.6726833</v>
      </c>
      <c r="J81" s="378">
        <f t="shared" si="6"/>
        <v>202.45430000000002</v>
      </c>
      <c r="K81" s="378">
        <f t="shared" si="6"/>
        <v>95.9160084</v>
      </c>
      <c r="L81" s="378">
        <f t="shared" si="7"/>
        <v>473.7662198333154</v>
      </c>
    </row>
    <row r="82" spans="1:12" ht="25.5" customHeight="1">
      <c r="A82" s="216" t="s">
        <v>726</v>
      </c>
      <c r="B82" s="378"/>
      <c r="D82" s="378">
        <f>772500/1000000</f>
        <v>0.7725</v>
      </c>
      <c r="E82" s="378">
        <f>3143925/10^7</f>
        <v>0.3143925</v>
      </c>
      <c r="F82" s="380">
        <f>1622428/10^6</f>
        <v>1.622428</v>
      </c>
      <c r="G82" s="378">
        <f>8424934/10^7</f>
        <v>0.8424934</v>
      </c>
      <c r="H82" s="378">
        <f>250000/10^6</f>
        <v>0.25</v>
      </c>
      <c r="I82" s="378">
        <f>1117907/10^7</f>
        <v>0.1117907</v>
      </c>
      <c r="J82" s="378">
        <f t="shared" si="6"/>
        <v>2.644928</v>
      </c>
      <c r="K82" s="378">
        <f t="shared" si="6"/>
        <v>1.2686766</v>
      </c>
      <c r="L82" s="378">
        <f t="shared" si="7"/>
        <v>479.66394548358215</v>
      </c>
    </row>
    <row r="83" spans="1:12" ht="25.5" customHeight="1">
      <c r="A83" s="216" t="s">
        <v>727</v>
      </c>
      <c r="B83" s="378"/>
      <c r="C83" s="378"/>
      <c r="D83" s="378">
        <f>59799310/10^6</f>
        <v>59.79931</v>
      </c>
      <c r="E83" s="378">
        <f>267093362/10^7</f>
        <v>26.7093362</v>
      </c>
      <c r="F83" s="378">
        <f>(112398517+12572500)/10^6</f>
        <v>124.971017</v>
      </c>
      <c r="G83" s="378">
        <f>(602694625+72723830)/10^7</f>
        <v>67.5418455</v>
      </c>
      <c r="H83" s="378">
        <f>6770000/10^6</f>
        <v>6.77</v>
      </c>
      <c r="I83" s="378">
        <f>27533439/10^7</f>
        <v>2.7533439</v>
      </c>
      <c r="J83" s="378">
        <f t="shared" si="6"/>
        <v>191.54032700000002</v>
      </c>
      <c r="K83" s="378">
        <f t="shared" si="6"/>
        <v>97.0045256</v>
      </c>
      <c r="L83" s="378">
        <f t="shared" si="7"/>
        <v>506.4443979987566</v>
      </c>
    </row>
    <row r="84" spans="1:14" ht="25.5" customHeight="1">
      <c r="A84" s="216" t="s">
        <v>728</v>
      </c>
      <c r="B84" s="378"/>
      <c r="C84" s="378"/>
      <c r="D84" s="378">
        <f>20036750/10^6</f>
        <v>20.03675</v>
      </c>
      <c r="E84" s="378">
        <f>96686362/10^7</f>
        <v>9.6686362</v>
      </c>
      <c r="F84" s="378">
        <f>(114048405+1440000)/10^6</f>
        <v>115.488405</v>
      </c>
      <c r="G84" s="378">
        <f>(515453521+6499599)/10^7</f>
        <v>52.195312</v>
      </c>
      <c r="H84" s="378">
        <f>25200000/10^6</f>
        <v>25.2</v>
      </c>
      <c r="I84" s="378">
        <f>136053826/10^7</f>
        <v>13.6053826</v>
      </c>
      <c r="J84" s="378">
        <f t="shared" si="6"/>
        <v>160.725155</v>
      </c>
      <c r="K84" s="378">
        <f t="shared" si="6"/>
        <v>75.46933080000001</v>
      </c>
      <c r="L84" s="378">
        <f t="shared" si="7"/>
        <v>469.5551906607277</v>
      </c>
      <c r="N84" s="379"/>
    </row>
    <row r="85" spans="1:12" ht="25.5" customHeight="1">
      <c r="A85" s="216" t="s">
        <v>729</v>
      </c>
      <c r="B85" s="378"/>
      <c r="C85" s="378"/>
      <c r="D85" s="378">
        <f>43845549/10^6</f>
        <v>43.845549</v>
      </c>
      <c r="E85" s="378">
        <f>211390842/10^7</f>
        <v>21.1390842</v>
      </c>
      <c r="F85" s="378">
        <f>(120845790+7224250)/10^6</f>
        <v>128.07004</v>
      </c>
      <c r="G85" s="378">
        <f>(553648474+28741005)/10^7</f>
        <v>58.2389479</v>
      </c>
      <c r="H85" s="378">
        <f>300000/10^6</f>
        <v>0.3</v>
      </c>
      <c r="I85" s="378">
        <f>1294688/10^7</f>
        <v>0.1294688</v>
      </c>
      <c r="J85" s="378">
        <f t="shared" si="6"/>
        <v>172.21558900000002</v>
      </c>
      <c r="K85" s="378">
        <f t="shared" si="6"/>
        <v>79.5075009</v>
      </c>
      <c r="L85" s="378">
        <f t="shared" si="7"/>
        <v>461.6742384453941</v>
      </c>
    </row>
    <row r="86" spans="1:12" ht="25.5" customHeight="1">
      <c r="A86" s="216" t="s">
        <v>730</v>
      </c>
      <c r="B86" s="378"/>
      <c r="C86" s="378"/>
      <c r="D86" s="378"/>
      <c r="E86" s="378"/>
      <c r="F86" s="378"/>
      <c r="G86" s="378"/>
      <c r="H86" s="378"/>
      <c r="I86" s="378"/>
      <c r="J86" s="378"/>
      <c r="K86" s="378"/>
      <c r="L86" s="378"/>
    </row>
    <row r="87" spans="1:12" ht="25.5" customHeight="1">
      <c r="A87" s="216" t="s">
        <v>731</v>
      </c>
      <c r="B87" s="378"/>
      <c r="C87" s="378"/>
      <c r="D87" s="378"/>
      <c r="E87" s="378"/>
      <c r="F87" s="378"/>
      <c r="G87" s="378"/>
      <c r="H87" s="378"/>
      <c r="I87" s="378"/>
      <c r="J87" s="378"/>
      <c r="K87" s="378"/>
      <c r="L87" s="378"/>
    </row>
    <row r="88" spans="1:12" ht="25.5" customHeight="1">
      <c r="A88" s="216" t="s">
        <v>732</v>
      </c>
      <c r="B88" s="378"/>
      <c r="C88" s="378"/>
      <c r="D88" s="378"/>
      <c r="E88" s="378"/>
      <c r="F88" s="378"/>
      <c r="G88" s="378"/>
      <c r="H88" s="378"/>
      <c r="I88" s="378"/>
      <c r="J88" s="378"/>
      <c r="K88" s="378"/>
      <c r="L88" s="378"/>
    </row>
    <row r="89" spans="1:12" ht="25.5" customHeight="1">
      <c r="A89" s="216" t="s">
        <v>733</v>
      </c>
      <c r="B89" s="378"/>
      <c r="C89" s="378"/>
      <c r="D89" s="378"/>
      <c r="E89" s="378"/>
      <c r="F89" s="378"/>
      <c r="G89" s="378"/>
      <c r="H89" s="378"/>
      <c r="I89" s="378"/>
      <c r="J89" s="378"/>
      <c r="K89" s="378"/>
      <c r="L89" s="378"/>
    </row>
    <row r="90" spans="1:12" ht="25.5" customHeight="1">
      <c r="A90" s="216" t="s">
        <v>734</v>
      </c>
      <c r="B90" s="378"/>
      <c r="C90" s="378"/>
      <c r="D90" s="378"/>
      <c r="E90" s="378"/>
      <c r="F90" s="378"/>
      <c r="G90" s="378"/>
      <c r="H90" s="378"/>
      <c r="I90" s="378"/>
      <c r="J90" s="378"/>
      <c r="K90" s="378"/>
      <c r="L90" s="378"/>
    </row>
    <row r="91" spans="1:12" ht="15.75">
      <c r="A91" s="377" t="s">
        <v>381</v>
      </c>
      <c r="B91" s="376">
        <f aca="true" t="shared" si="8" ref="B91:K91">SUM(B79:B90)</f>
        <v>81.804496</v>
      </c>
      <c r="C91" s="376">
        <f t="shared" si="8"/>
        <v>42.500676000000006</v>
      </c>
      <c r="D91" s="376">
        <f t="shared" si="8"/>
        <v>219.77930700000002</v>
      </c>
      <c r="E91" s="376">
        <f t="shared" si="8"/>
        <v>101.40128456</v>
      </c>
      <c r="F91" s="376">
        <f t="shared" si="8"/>
        <v>457.402413</v>
      </c>
      <c r="G91" s="376">
        <f t="shared" si="8"/>
        <v>211.2328808</v>
      </c>
      <c r="H91" s="376">
        <f t="shared" si="8"/>
        <v>48.6795</v>
      </c>
      <c r="I91" s="376">
        <f t="shared" si="8"/>
        <v>22.1235781</v>
      </c>
      <c r="J91" s="376">
        <f t="shared" si="8"/>
        <v>807.665716</v>
      </c>
      <c r="K91" s="376">
        <f t="shared" si="8"/>
        <v>377.25841946</v>
      </c>
      <c r="L91" s="376">
        <f>K91/J91*1000</f>
        <v>467.09723092913856</v>
      </c>
    </row>
    <row r="92" spans="1:13" ht="15.75">
      <c r="A92" s="421"/>
      <c r="B92" s="424" t="s">
        <v>686</v>
      </c>
      <c r="C92" s="423"/>
      <c r="D92" s="422"/>
      <c r="E92" s="421"/>
      <c r="F92" s="421"/>
      <c r="G92" s="421"/>
      <c r="H92" s="421"/>
      <c r="I92" s="421"/>
      <c r="J92" s="421"/>
      <c r="K92" s="421"/>
      <c r="L92" s="421"/>
      <c r="M92" s="61" t="s">
        <v>610</v>
      </c>
    </row>
    <row r="93" spans="1:13" ht="12.75" customHeight="1">
      <c r="A93" s="641" t="s">
        <v>492</v>
      </c>
      <c r="B93" s="641" t="s">
        <v>694</v>
      </c>
      <c r="C93" s="641"/>
      <c r="D93" s="641" t="s">
        <v>693</v>
      </c>
      <c r="E93" s="641"/>
      <c r="F93" s="641" t="s">
        <v>692</v>
      </c>
      <c r="G93" s="641"/>
      <c r="H93" s="641" t="s">
        <v>691</v>
      </c>
      <c r="I93" s="641"/>
      <c r="J93" s="641" t="s">
        <v>742</v>
      </c>
      <c r="K93" s="641"/>
      <c r="L93" s="641"/>
      <c r="M93" s="61"/>
    </row>
    <row r="94" spans="1:13" ht="69.75" customHeight="1">
      <c r="A94" s="641"/>
      <c r="B94" s="381" t="s">
        <v>689</v>
      </c>
      <c r="C94" s="381" t="s">
        <v>741</v>
      </c>
      <c r="D94" s="381" t="s">
        <v>689</v>
      </c>
      <c r="E94" s="381" t="s">
        <v>741</v>
      </c>
      <c r="F94" s="381" t="s">
        <v>689</v>
      </c>
      <c r="G94" s="381" t="s">
        <v>741</v>
      </c>
      <c r="H94" s="381" t="s">
        <v>689</v>
      </c>
      <c r="I94" s="381" t="s">
        <v>741</v>
      </c>
      <c r="J94" s="381" t="s">
        <v>689</v>
      </c>
      <c r="K94" s="381" t="s">
        <v>741</v>
      </c>
      <c r="L94" s="381" t="s">
        <v>687</v>
      </c>
      <c r="M94" s="61"/>
    </row>
    <row r="95" spans="1:13" ht="15">
      <c r="A95" s="216" t="s">
        <v>723</v>
      </c>
      <c r="B95" s="362">
        <v>0</v>
      </c>
      <c r="C95" s="362">
        <v>0</v>
      </c>
      <c r="D95" s="362">
        <v>0</v>
      </c>
      <c r="E95" s="362">
        <v>0</v>
      </c>
      <c r="F95" s="585">
        <v>0</v>
      </c>
      <c r="G95" s="585">
        <v>0</v>
      </c>
      <c r="H95" s="585">
        <v>0</v>
      </c>
      <c r="I95" s="585">
        <v>0</v>
      </c>
      <c r="J95" s="585">
        <v>0</v>
      </c>
      <c r="K95" s="585">
        <v>0</v>
      </c>
      <c r="L95" s="585">
        <v>0</v>
      </c>
      <c r="M95" s="61"/>
    </row>
    <row r="96" spans="1:13" ht="15">
      <c r="A96" s="216" t="s">
        <v>724</v>
      </c>
      <c r="B96" s="362">
        <v>0</v>
      </c>
      <c r="C96" s="362">
        <v>0</v>
      </c>
      <c r="D96" s="362">
        <v>0</v>
      </c>
      <c r="E96" s="362">
        <v>0</v>
      </c>
      <c r="F96" s="362">
        <v>0</v>
      </c>
      <c r="G96" s="362">
        <v>0</v>
      </c>
      <c r="H96" s="362">
        <v>0</v>
      </c>
      <c r="I96" s="362">
        <v>0</v>
      </c>
      <c r="J96" s="362">
        <v>0</v>
      </c>
      <c r="K96" s="362">
        <v>0</v>
      </c>
      <c r="L96" s="362">
        <v>0</v>
      </c>
      <c r="M96" s="61"/>
    </row>
    <row r="97" spans="1:13" ht="15">
      <c r="A97" s="216" t="s">
        <v>725</v>
      </c>
      <c r="B97" s="362">
        <v>0</v>
      </c>
      <c r="C97" s="362">
        <v>0</v>
      </c>
      <c r="D97" s="378">
        <f>32649445/10^6</f>
        <v>32.649445</v>
      </c>
      <c r="E97" s="378">
        <f>112609239/10^7</f>
        <v>11.2609239</v>
      </c>
      <c r="F97" s="378">
        <f>(77835523+1838250)/10^6</f>
        <v>79.673773</v>
      </c>
      <c r="G97" s="378">
        <f>(240750802+7076043)/10^7</f>
        <v>24.7826845</v>
      </c>
      <c r="H97" s="378">
        <f>(457025+8090000)/10^6</f>
        <v>8.547025</v>
      </c>
      <c r="I97" s="378">
        <f>(1038321+25051827)/10^7</f>
        <v>2.6090148</v>
      </c>
      <c r="J97" s="378">
        <f>B97+D97+F97+H97</f>
        <v>120.870243</v>
      </c>
      <c r="K97" s="378">
        <f>C97+E97+G97+I97</f>
        <v>38.652623199999994</v>
      </c>
      <c r="L97" s="378">
        <f>K97*1000/J97</f>
        <v>319.78609656638145</v>
      </c>
      <c r="M97" s="61"/>
    </row>
    <row r="98" spans="1:13" ht="15">
      <c r="A98" s="216" t="s">
        <v>726</v>
      </c>
      <c r="B98" s="362">
        <v>0</v>
      </c>
      <c r="C98" s="362">
        <v>0</v>
      </c>
      <c r="D98" s="362">
        <v>0</v>
      </c>
      <c r="E98" s="362">
        <v>0</v>
      </c>
      <c r="F98" s="378">
        <f>28552860/10^6</f>
        <v>28.55286</v>
      </c>
      <c r="G98" s="378">
        <f>71010753/10^7</f>
        <v>7.1010753</v>
      </c>
      <c r="H98" s="378">
        <f>800000/10^6</f>
        <v>0.8</v>
      </c>
      <c r="I98" s="378">
        <f>2734498/10^7</f>
        <v>0.2734498</v>
      </c>
      <c r="J98" s="378">
        <f>B98+D98+F98+H98</f>
        <v>29.35286</v>
      </c>
      <c r="K98" s="378">
        <f>C98+E98+G98+I98</f>
        <v>7.3745251</v>
      </c>
      <c r="L98" s="378">
        <f>K98*1000/J98</f>
        <v>251.23702085588934</v>
      </c>
      <c r="M98" s="61"/>
    </row>
    <row r="99" spans="1:13" ht="15">
      <c r="A99" s="216" t="s">
        <v>727</v>
      </c>
      <c r="B99" s="362">
        <v>0</v>
      </c>
      <c r="C99" s="362">
        <v>0</v>
      </c>
      <c r="D99" s="362">
        <v>0</v>
      </c>
      <c r="E99" s="362">
        <v>0</v>
      </c>
      <c r="F99" s="362">
        <v>0</v>
      </c>
      <c r="G99" s="362">
        <v>0</v>
      </c>
      <c r="H99" s="362">
        <v>0</v>
      </c>
      <c r="I99" s="362">
        <v>0</v>
      </c>
      <c r="J99" s="362">
        <v>0</v>
      </c>
      <c r="K99" s="362"/>
      <c r="L99" s="362">
        <v>0</v>
      </c>
      <c r="M99" s="61"/>
    </row>
    <row r="100" spans="1:13" ht="15">
      <c r="A100" s="216" t="s">
        <v>728</v>
      </c>
      <c r="B100" s="362">
        <v>0</v>
      </c>
      <c r="C100" s="362">
        <v>0</v>
      </c>
      <c r="D100" s="362">
        <v>0</v>
      </c>
      <c r="E100" s="362">
        <v>0</v>
      </c>
      <c r="F100" s="362">
        <v>0</v>
      </c>
      <c r="G100" s="362">
        <v>0</v>
      </c>
      <c r="H100" s="362">
        <v>0</v>
      </c>
      <c r="I100" s="362">
        <v>0</v>
      </c>
      <c r="J100" s="362">
        <v>0</v>
      </c>
      <c r="K100" s="362">
        <v>0</v>
      </c>
      <c r="L100" s="362">
        <v>0</v>
      </c>
      <c r="M100" s="61"/>
    </row>
    <row r="101" spans="1:13" ht="15">
      <c r="A101" s="216" t="s">
        <v>729</v>
      </c>
      <c r="B101" s="362"/>
      <c r="C101" s="362"/>
      <c r="D101" s="362"/>
      <c r="E101" s="362"/>
      <c r="F101" s="362"/>
      <c r="G101" s="362"/>
      <c r="H101" s="362"/>
      <c r="I101" s="362"/>
      <c r="J101" s="362"/>
      <c r="K101" s="362"/>
      <c r="L101" s="362"/>
      <c r="M101" s="61"/>
    </row>
    <row r="102" spans="1:13" ht="15">
      <c r="A102" s="216" t="s">
        <v>730</v>
      </c>
      <c r="B102" s="362"/>
      <c r="C102" s="362"/>
      <c r="D102" s="362"/>
      <c r="E102" s="362"/>
      <c r="F102" s="362"/>
      <c r="G102" s="362"/>
      <c r="H102" s="362"/>
      <c r="I102" s="362"/>
      <c r="J102" s="362"/>
      <c r="K102" s="362"/>
      <c r="L102" s="362"/>
      <c r="M102" s="61"/>
    </row>
    <row r="103" spans="1:13" ht="15">
      <c r="A103" s="216" t="s">
        <v>731</v>
      </c>
      <c r="B103" s="362"/>
      <c r="C103" s="362"/>
      <c r="D103" s="362"/>
      <c r="E103" s="362"/>
      <c r="F103" s="362"/>
      <c r="G103" s="362"/>
      <c r="H103" s="362"/>
      <c r="I103" s="362"/>
      <c r="J103" s="362"/>
      <c r="K103" s="362"/>
      <c r="L103" s="362"/>
      <c r="M103" s="61"/>
    </row>
    <row r="104" spans="1:13" ht="15">
      <c r="A104" s="216" t="s">
        <v>732</v>
      </c>
      <c r="B104" s="362"/>
      <c r="C104" s="362"/>
      <c r="D104" s="362"/>
      <c r="E104" s="362"/>
      <c r="F104" s="362"/>
      <c r="G104" s="362"/>
      <c r="H104" s="362"/>
      <c r="I104" s="362"/>
      <c r="J104" s="362"/>
      <c r="K104" s="362"/>
      <c r="L104" s="362"/>
      <c r="M104" s="61"/>
    </row>
    <row r="105" spans="1:13" ht="15">
      <c r="A105" s="216" t="s">
        <v>733</v>
      </c>
      <c r="B105" s="362"/>
      <c r="C105" s="362"/>
      <c r="D105" s="362"/>
      <c r="E105" s="362"/>
      <c r="F105" s="362"/>
      <c r="G105" s="362"/>
      <c r="H105" s="362"/>
      <c r="I105" s="362"/>
      <c r="J105" s="362"/>
      <c r="K105" s="362"/>
      <c r="L105" s="362"/>
      <c r="M105" s="61"/>
    </row>
    <row r="106" spans="1:13" ht="15">
      <c r="A106" s="216" t="s">
        <v>734</v>
      </c>
      <c r="B106" s="362"/>
      <c r="C106" s="362"/>
      <c r="D106" s="362"/>
      <c r="E106" s="362"/>
      <c r="F106" s="362"/>
      <c r="G106" s="362"/>
      <c r="H106" s="362"/>
      <c r="I106" s="362"/>
      <c r="J106" s="362"/>
      <c r="K106" s="362"/>
      <c r="L106" s="362"/>
      <c r="M106" s="61"/>
    </row>
    <row r="107" spans="1:13" ht="15.75">
      <c r="A107" s="377" t="s">
        <v>381</v>
      </c>
      <c r="B107" s="361">
        <f aca="true" t="shared" si="9" ref="B107:K107">SUM(B95:B106)</f>
        <v>0</v>
      </c>
      <c r="C107" s="361">
        <f t="shared" si="9"/>
        <v>0</v>
      </c>
      <c r="D107" s="361">
        <f t="shared" si="9"/>
        <v>32.649445</v>
      </c>
      <c r="E107" s="361">
        <f t="shared" si="9"/>
        <v>11.2609239</v>
      </c>
      <c r="F107" s="376">
        <f t="shared" si="9"/>
        <v>108.22663299999999</v>
      </c>
      <c r="G107" s="376">
        <f t="shared" si="9"/>
        <v>31.8837598</v>
      </c>
      <c r="H107" s="376">
        <f t="shared" si="9"/>
        <v>9.347025</v>
      </c>
      <c r="I107" s="376">
        <f t="shared" si="9"/>
        <v>2.8824646</v>
      </c>
      <c r="J107" s="376">
        <f t="shared" si="9"/>
        <v>150.223103</v>
      </c>
      <c r="K107" s="376">
        <f t="shared" si="9"/>
        <v>46.02714829999999</v>
      </c>
      <c r="L107" s="376">
        <f>K107/J107*1000</f>
        <v>306.3919422567113</v>
      </c>
      <c r="M107" s="61"/>
    </row>
    <row r="108" spans="2:13" ht="15.75">
      <c r="B108" s="65"/>
      <c r="C108" s="420"/>
      <c r="D108" s="61"/>
      <c r="M108" s="61"/>
    </row>
    <row r="110" spans="1:13" ht="15.75">
      <c r="A110" s="38"/>
      <c r="B110" s="375"/>
      <c r="C110" s="373"/>
      <c r="D110" s="373"/>
      <c r="E110" s="373"/>
      <c r="F110" s="373"/>
      <c r="G110" s="373"/>
      <c r="H110" s="373"/>
      <c r="I110" s="373"/>
      <c r="J110" s="373"/>
      <c r="K110" s="18"/>
      <c r="L110" s="374"/>
      <c r="M110" s="38"/>
    </row>
    <row r="111" spans="1:13" ht="15.75">
      <c r="A111" s="38"/>
      <c r="B111" s="374"/>
      <c r="C111" s="373"/>
      <c r="D111" s="373"/>
      <c r="E111" s="373"/>
      <c r="F111" s="373"/>
      <c r="G111" s="373"/>
      <c r="H111" s="373"/>
      <c r="I111" s="373"/>
      <c r="J111" s="373"/>
      <c r="K111" s="18"/>
      <c r="L111" s="374"/>
      <c r="M111" s="38"/>
    </row>
    <row r="112" spans="1:13" ht="12.75">
      <c r="A112" s="31"/>
      <c r="B112" s="36"/>
      <c r="C112" s="32"/>
      <c r="D112" s="32"/>
      <c r="E112" s="373"/>
      <c r="F112" s="373"/>
      <c r="G112" s="38"/>
      <c r="H112" s="38"/>
      <c r="I112" s="38"/>
      <c r="J112" s="38"/>
      <c r="K112" s="38"/>
      <c r="L112" s="38"/>
      <c r="M112" s="38"/>
    </row>
    <row r="113" spans="1:13" ht="15.75">
      <c r="A113" s="371"/>
      <c r="B113" s="65"/>
      <c r="C113" s="67"/>
      <c r="D113" s="370"/>
      <c r="E113" s="38"/>
      <c r="F113" s="38"/>
      <c r="G113" s="38"/>
      <c r="H113" s="38"/>
      <c r="I113" s="38"/>
      <c r="J113" s="38"/>
      <c r="K113" s="38"/>
      <c r="L113" s="38"/>
      <c r="M113" s="38"/>
    </row>
    <row r="114" spans="1:13" ht="12.7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</row>
    <row r="115" spans="1:13" ht="14.25">
      <c r="A115" s="640"/>
      <c r="B115" s="640"/>
      <c r="C115" s="640"/>
      <c r="D115" s="640"/>
      <c r="E115" s="640"/>
      <c r="F115" s="640"/>
      <c r="G115" s="640"/>
      <c r="H115" s="640"/>
      <c r="I115" s="640"/>
      <c r="J115" s="640"/>
      <c r="K115" s="640"/>
      <c r="L115" s="640"/>
      <c r="M115" s="38"/>
    </row>
    <row r="116" spans="1:13" ht="14.25">
      <c r="A116" s="640"/>
      <c r="B116" s="372"/>
      <c r="C116" s="372"/>
      <c r="D116" s="372"/>
      <c r="E116" s="372"/>
      <c r="F116" s="372"/>
      <c r="G116" s="372"/>
      <c r="H116" s="372"/>
      <c r="I116" s="372"/>
      <c r="J116" s="372"/>
      <c r="K116" s="372"/>
      <c r="L116" s="372"/>
      <c r="M116" s="38"/>
    </row>
    <row r="117" spans="1:13" ht="15">
      <c r="A117" s="368"/>
      <c r="B117" s="367"/>
      <c r="C117" s="367"/>
      <c r="D117" s="367"/>
      <c r="E117" s="367"/>
      <c r="F117" s="367"/>
      <c r="G117" s="367"/>
      <c r="H117" s="367"/>
      <c r="I117" s="367"/>
      <c r="J117" s="367"/>
      <c r="K117" s="367"/>
      <c r="L117" s="367"/>
      <c r="M117" s="38"/>
    </row>
    <row r="118" spans="1:13" ht="15">
      <c r="A118" s="368"/>
      <c r="B118" s="367"/>
      <c r="C118" s="367"/>
      <c r="D118" s="367"/>
      <c r="E118" s="367"/>
      <c r="F118" s="367"/>
      <c r="G118" s="367"/>
      <c r="H118" s="367"/>
      <c r="I118" s="367"/>
      <c r="J118" s="367"/>
      <c r="K118" s="367"/>
      <c r="L118" s="367"/>
      <c r="M118" s="38"/>
    </row>
    <row r="119" spans="1:13" ht="15">
      <c r="A119" s="368"/>
      <c r="B119" s="367"/>
      <c r="C119" s="367"/>
      <c r="D119" s="367"/>
      <c r="E119" s="367"/>
      <c r="F119" s="367"/>
      <c r="G119" s="367"/>
      <c r="H119" s="367"/>
      <c r="I119" s="367"/>
      <c r="J119" s="367"/>
      <c r="K119" s="367"/>
      <c r="L119" s="367"/>
      <c r="M119" s="38"/>
    </row>
    <row r="120" spans="1:13" ht="15">
      <c r="A120" s="368"/>
      <c r="B120" s="367"/>
      <c r="C120" s="367"/>
      <c r="D120" s="367"/>
      <c r="E120" s="367"/>
      <c r="F120" s="367"/>
      <c r="G120" s="367"/>
      <c r="H120" s="367"/>
      <c r="I120" s="367"/>
      <c r="J120" s="367"/>
      <c r="K120" s="367"/>
      <c r="L120" s="367"/>
      <c r="M120" s="38"/>
    </row>
    <row r="121" spans="1:13" ht="15">
      <c r="A121" s="368"/>
      <c r="B121" s="367"/>
      <c r="C121" s="367"/>
      <c r="D121" s="367"/>
      <c r="E121" s="367"/>
      <c r="F121" s="367"/>
      <c r="G121" s="367"/>
      <c r="H121" s="367"/>
      <c r="I121" s="367"/>
      <c r="J121" s="367"/>
      <c r="K121" s="367"/>
      <c r="L121" s="367"/>
      <c r="M121" s="38"/>
    </row>
    <row r="122" spans="1:13" ht="15">
      <c r="A122" s="368"/>
      <c r="B122" s="367"/>
      <c r="C122" s="367"/>
      <c r="D122" s="367"/>
      <c r="E122" s="367"/>
      <c r="F122" s="367"/>
      <c r="G122" s="367"/>
      <c r="H122" s="367"/>
      <c r="I122" s="367"/>
      <c r="J122" s="367"/>
      <c r="K122" s="367"/>
      <c r="L122" s="363"/>
      <c r="M122" s="38"/>
    </row>
    <row r="123" spans="1:13" ht="15">
      <c r="A123" s="368"/>
      <c r="B123" s="367"/>
      <c r="C123" s="367"/>
      <c r="D123" s="367"/>
      <c r="E123" s="367"/>
      <c r="F123" s="367"/>
      <c r="G123" s="367"/>
      <c r="H123" s="367"/>
      <c r="I123" s="367"/>
      <c r="J123" s="367"/>
      <c r="K123" s="367"/>
      <c r="L123" s="363"/>
      <c r="M123" s="38"/>
    </row>
    <row r="124" spans="1:16" ht="15">
      <c r="A124" s="368"/>
      <c r="B124" s="363"/>
      <c r="C124" s="363"/>
      <c r="D124" s="367"/>
      <c r="E124" s="367"/>
      <c r="F124" s="367"/>
      <c r="G124" s="367"/>
      <c r="H124" s="367"/>
      <c r="I124" s="367"/>
      <c r="J124" s="367"/>
      <c r="K124" s="367"/>
      <c r="L124" s="363"/>
      <c r="M124" s="38"/>
      <c r="P124" s="61"/>
    </row>
    <row r="125" spans="1:13" ht="15">
      <c r="A125" s="368"/>
      <c r="B125" s="367"/>
      <c r="C125" s="367"/>
      <c r="D125" s="367"/>
      <c r="E125" s="367"/>
      <c r="F125" s="367"/>
      <c r="G125" s="367"/>
      <c r="H125" s="367"/>
      <c r="I125" s="367"/>
      <c r="J125" s="367"/>
      <c r="K125" s="367"/>
      <c r="L125" s="363"/>
      <c r="M125" s="38"/>
    </row>
    <row r="126" spans="1:13" ht="15">
      <c r="A126" s="368"/>
      <c r="B126" s="367"/>
      <c r="C126" s="367"/>
      <c r="D126" s="367"/>
      <c r="E126" s="367"/>
      <c r="F126" s="367"/>
      <c r="G126" s="367"/>
      <c r="H126" s="367"/>
      <c r="I126" s="367"/>
      <c r="J126" s="367"/>
      <c r="K126" s="367"/>
      <c r="L126" s="363"/>
      <c r="M126" s="38"/>
    </row>
    <row r="127" spans="1:13" ht="15">
      <c r="A127" s="368"/>
      <c r="B127" s="367"/>
      <c r="C127" s="367"/>
      <c r="D127" s="367"/>
      <c r="E127" s="367"/>
      <c r="F127" s="367"/>
      <c r="G127" s="367"/>
      <c r="H127" s="367"/>
      <c r="I127" s="367"/>
      <c r="J127" s="367"/>
      <c r="K127" s="367"/>
      <c r="L127" s="363"/>
      <c r="M127" s="38"/>
    </row>
    <row r="128" spans="1:16" ht="15">
      <c r="A128" s="368"/>
      <c r="B128" s="367"/>
      <c r="C128" s="367"/>
      <c r="D128" s="367"/>
      <c r="E128" s="363"/>
      <c r="F128" s="367"/>
      <c r="G128" s="367"/>
      <c r="H128" s="367"/>
      <c r="I128" s="367"/>
      <c r="J128" s="367"/>
      <c r="K128" s="367"/>
      <c r="L128" s="363"/>
      <c r="M128" s="38"/>
      <c r="P128" s="61"/>
    </row>
    <row r="129" spans="1:13" ht="15.75">
      <c r="A129" s="366"/>
      <c r="B129" s="365"/>
      <c r="C129" s="365"/>
      <c r="D129" s="365"/>
      <c r="E129" s="365"/>
      <c r="F129" s="365"/>
      <c r="G129" s="365"/>
      <c r="H129" s="365"/>
      <c r="I129" s="365"/>
      <c r="J129" s="365"/>
      <c r="K129" s="365"/>
      <c r="L129" s="363"/>
      <c r="M129" s="38"/>
    </row>
    <row r="130" spans="1:13" ht="15.75">
      <c r="A130" s="371"/>
      <c r="B130" s="65"/>
      <c r="C130" s="67"/>
      <c r="D130" s="370"/>
      <c r="E130" s="38"/>
      <c r="F130" s="38"/>
      <c r="G130" s="38"/>
      <c r="H130" s="38"/>
      <c r="I130" s="38"/>
      <c r="J130" s="38"/>
      <c r="K130" s="38"/>
      <c r="L130" s="38"/>
      <c r="M130" s="38"/>
    </row>
    <row r="131" spans="1:13" ht="12.75">
      <c r="A131" s="369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</row>
    <row r="132" spans="1:14" ht="15">
      <c r="A132" s="368"/>
      <c r="B132" s="367"/>
      <c r="C132" s="367"/>
      <c r="D132" s="367"/>
      <c r="E132" s="367"/>
      <c r="F132" s="363"/>
      <c r="G132" s="363"/>
      <c r="H132" s="363"/>
      <c r="I132" s="363"/>
      <c r="J132" s="363"/>
      <c r="K132" s="363"/>
      <c r="L132" s="363"/>
      <c r="M132" s="38"/>
      <c r="N132" s="61" t="s">
        <v>591</v>
      </c>
    </row>
    <row r="133" spans="1:13" ht="15">
      <c r="A133" s="368"/>
      <c r="B133" s="367"/>
      <c r="C133" s="367"/>
      <c r="D133" s="367"/>
      <c r="E133" s="367"/>
      <c r="F133" s="363"/>
      <c r="G133" s="363"/>
      <c r="H133" s="363"/>
      <c r="I133" s="363"/>
      <c r="J133" s="363"/>
      <c r="K133" s="363"/>
      <c r="L133" s="363"/>
      <c r="M133" s="38"/>
    </row>
    <row r="134" spans="1:13" ht="15">
      <c r="A134" s="368"/>
      <c r="B134" s="367"/>
      <c r="C134" s="367"/>
      <c r="D134" s="367"/>
      <c r="E134" s="367"/>
      <c r="F134" s="363"/>
      <c r="G134" s="363"/>
      <c r="H134" s="363"/>
      <c r="I134" s="363"/>
      <c r="J134" s="363"/>
      <c r="K134" s="363"/>
      <c r="L134" s="363"/>
      <c r="M134" s="38"/>
    </row>
    <row r="135" spans="1:13" ht="15">
      <c r="A135" s="368"/>
      <c r="B135" s="367"/>
      <c r="C135" s="367"/>
      <c r="D135" s="367"/>
      <c r="E135" s="367"/>
      <c r="F135" s="363"/>
      <c r="G135" s="363"/>
      <c r="H135" s="363"/>
      <c r="I135" s="363"/>
      <c r="J135" s="363"/>
      <c r="K135" s="363"/>
      <c r="L135" s="363"/>
      <c r="M135" s="38"/>
    </row>
    <row r="136" spans="1:13" ht="15">
      <c r="A136" s="368"/>
      <c r="B136" s="367"/>
      <c r="C136" s="367"/>
      <c r="D136" s="367"/>
      <c r="E136" s="367"/>
      <c r="F136" s="367"/>
      <c r="G136" s="367"/>
      <c r="H136" s="367"/>
      <c r="I136" s="367"/>
      <c r="J136" s="367"/>
      <c r="K136" s="367"/>
      <c r="L136" s="367"/>
      <c r="M136" s="38"/>
    </row>
    <row r="137" spans="1:13" ht="15">
      <c r="A137" s="368"/>
      <c r="B137" s="367"/>
      <c r="C137" s="367"/>
      <c r="D137" s="367"/>
      <c r="E137" s="367"/>
      <c r="F137" s="367"/>
      <c r="G137" s="367"/>
      <c r="H137" s="367"/>
      <c r="I137" s="367"/>
      <c r="J137" s="367"/>
      <c r="K137" s="367"/>
      <c r="L137" s="367"/>
      <c r="M137" s="38"/>
    </row>
    <row r="138" spans="1:13" ht="15">
      <c r="A138" s="368"/>
      <c r="B138" s="367"/>
      <c r="C138" s="367"/>
      <c r="D138" s="367"/>
      <c r="E138" s="367"/>
      <c r="F138" s="367"/>
      <c r="G138" s="367"/>
      <c r="H138" s="367"/>
      <c r="I138" s="367"/>
      <c r="J138" s="367"/>
      <c r="K138" s="367"/>
      <c r="L138" s="367"/>
      <c r="M138" s="38"/>
    </row>
    <row r="139" spans="1:13" ht="15">
      <c r="A139" s="368"/>
      <c r="B139" s="363"/>
      <c r="C139" s="363"/>
      <c r="D139" s="367"/>
      <c r="E139" s="367"/>
      <c r="F139" s="367"/>
      <c r="G139" s="367"/>
      <c r="H139" s="367"/>
      <c r="I139" s="367"/>
      <c r="J139" s="367"/>
      <c r="K139" s="367"/>
      <c r="L139" s="367"/>
      <c r="M139" s="38"/>
    </row>
    <row r="140" spans="1:13" ht="15">
      <c r="A140" s="368"/>
      <c r="B140" s="367"/>
      <c r="C140" s="367"/>
      <c r="D140" s="367"/>
      <c r="E140" s="367"/>
      <c r="F140" s="367"/>
      <c r="G140" s="367"/>
      <c r="H140" s="367"/>
      <c r="I140" s="367"/>
      <c r="J140" s="367"/>
      <c r="K140" s="367"/>
      <c r="L140" s="367"/>
      <c r="M140" s="38"/>
    </row>
    <row r="141" spans="1:13" ht="15">
      <c r="A141" s="368"/>
      <c r="B141" s="367"/>
      <c r="C141" s="367"/>
      <c r="D141" s="367"/>
      <c r="E141" s="367"/>
      <c r="F141" s="367"/>
      <c r="G141" s="367"/>
      <c r="H141" s="367"/>
      <c r="I141" s="367"/>
      <c r="J141" s="367"/>
      <c r="K141" s="367"/>
      <c r="L141" s="367"/>
      <c r="M141" s="38"/>
    </row>
    <row r="142" spans="1:13" ht="15">
      <c r="A142" s="368"/>
      <c r="B142" s="367"/>
      <c r="C142" s="367"/>
      <c r="D142" s="367"/>
      <c r="E142" s="367"/>
      <c r="F142" s="367"/>
      <c r="G142" s="367"/>
      <c r="H142" s="367"/>
      <c r="I142" s="367"/>
      <c r="J142" s="367"/>
      <c r="K142" s="367"/>
      <c r="L142" s="367"/>
      <c r="M142" s="38"/>
    </row>
    <row r="143" spans="1:13" ht="15">
      <c r="A143" s="368"/>
      <c r="B143" s="367"/>
      <c r="C143" s="367"/>
      <c r="D143" s="367"/>
      <c r="E143" s="363"/>
      <c r="F143" s="367"/>
      <c r="G143" s="367"/>
      <c r="H143" s="367"/>
      <c r="I143" s="367"/>
      <c r="J143" s="367"/>
      <c r="K143" s="367"/>
      <c r="L143" s="367"/>
      <c r="M143" s="38"/>
    </row>
    <row r="144" spans="1:13" ht="15.75">
      <c r="A144" s="366"/>
      <c r="B144" s="365"/>
      <c r="C144" s="365"/>
      <c r="D144" s="365"/>
      <c r="E144" s="365"/>
      <c r="F144" s="364"/>
      <c r="G144" s="364"/>
      <c r="H144" s="364"/>
      <c r="I144" s="364"/>
      <c r="J144" s="364"/>
      <c r="K144" s="364"/>
      <c r="L144" s="363"/>
      <c r="M144" s="38"/>
    </row>
  </sheetData>
  <sheetProtection/>
  <mergeCells count="30">
    <mergeCell ref="A38:A39"/>
    <mergeCell ref="B38:C38"/>
    <mergeCell ref="D38:E38"/>
    <mergeCell ref="F38:G38"/>
    <mergeCell ref="H38:I38"/>
    <mergeCell ref="J38:L38"/>
    <mergeCell ref="A54:A55"/>
    <mergeCell ref="B54:C54"/>
    <mergeCell ref="D54:E54"/>
    <mergeCell ref="F54:G54"/>
    <mergeCell ref="H54:I54"/>
    <mergeCell ref="J54:L54"/>
    <mergeCell ref="A77:A78"/>
    <mergeCell ref="B77:C77"/>
    <mergeCell ref="D77:E77"/>
    <mergeCell ref="F77:G77"/>
    <mergeCell ref="H77:I77"/>
    <mergeCell ref="J77:L77"/>
    <mergeCell ref="A93:A94"/>
    <mergeCell ref="B93:C93"/>
    <mergeCell ref="D93:E93"/>
    <mergeCell ref="F93:G93"/>
    <mergeCell ref="H93:I93"/>
    <mergeCell ref="J93:L93"/>
    <mergeCell ref="A115:A116"/>
    <mergeCell ref="B115:C115"/>
    <mergeCell ref="D115:E115"/>
    <mergeCell ref="F115:G115"/>
    <mergeCell ref="H115:I115"/>
    <mergeCell ref="J115:L11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S56"/>
  <sheetViews>
    <sheetView view="pageBreakPreview" zoomScale="60" zoomScaleNormal="75" zoomScalePageLayoutView="0" workbookViewId="0" topLeftCell="A1">
      <selection activeCell="I51" sqref="I51"/>
    </sheetView>
  </sheetViews>
  <sheetFormatPr defaultColWidth="9.140625" defaultRowHeight="12.75"/>
  <cols>
    <col min="1" max="1" width="13.8515625" style="20" customWidth="1"/>
    <col min="2" max="2" width="24.140625" style="20" customWidth="1"/>
    <col min="3" max="3" width="19.140625" style="20" customWidth="1"/>
    <col min="4" max="4" width="18.8515625" style="20" customWidth="1"/>
    <col min="5" max="5" width="17.8515625" style="20" customWidth="1"/>
    <col min="6" max="6" width="15.28125" style="20" customWidth="1"/>
    <col min="7" max="7" width="16.28125" style="20" customWidth="1"/>
    <col min="8" max="8" width="15.57421875" style="20" customWidth="1"/>
    <col min="9" max="9" width="15.28125" style="100" customWidth="1"/>
    <col min="10" max="11" width="15.7109375" style="100" customWidth="1"/>
    <col min="12" max="12" width="13.8515625" style="100" customWidth="1"/>
    <col min="13" max="17" width="10.7109375" style="20" customWidth="1"/>
    <col min="18" max="19" width="11.7109375" style="20" customWidth="1"/>
    <col min="20" max="16384" width="9.140625" style="20" customWidth="1"/>
  </cols>
  <sheetData>
    <row r="1" spans="1:17" s="19" customFormat="1" ht="18">
      <c r="A1" s="330" t="s">
        <v>521</v>
      </c>
      <c r="B1" s="257"/>
      <c r="C1" s="331"/>
      <c r="D1" s="257"/>
      <c r="E1" s="257"/>
      <c r="F1" s="257"/>
      <c r="G1" s="257"/>
      <c r="H1" s="257"/>
      <c r="I1" s="332"/>
      <c r="J1" s="332"/>
      <c r="K1" s="332"/>
      <c r="L1" s="332"/>
      <c r="M1" s="257"/>
      <c r="N1" s="257"/>
      <c r="O1" s="257"/>
      <c r="P1" s="257"/>
      <c r="Q1" s="333"/>
    </row>
    <row r="2" spans="1:17" s="19" customFormat="1" ht="18">
      <c r="A2" s="334" t="s">
        <v>365</v>
      </c>
      <c r="B2" s="257"/>
      <c r="C2" s="331"/>
      <c r="D2" s="257"/>
      <c r="E2" s="257"/>
      <c r="F2" s="257"/>
      <c r="G2" s="257"/>
      <c r="H2" s="257"/>
      <c r="I2" s="332"/>
      <c r="J2" s="332"/>
      <c r="K2" s="332"/>
      <c r="L2" s="332"/>
      <c r="M2" s="259" t="s">
        <v>474</v>
      </c>
      <c r="N2" s="257"/>
      <c r="O2" s="257"/>
      <c r="P2" s="257"/>
      <c r="Q2" s="257"/>
    </row>
    <row r="3" spans="1:17" s="19" customFormat="1" ht="18">
      <c r="A3" s="258"/>
      <c r="B3" s="335"/>
      <c r="C3" s="331"/>
      <c r="D3" s="257"/>
      <c r="E3" s="257"/>
      <c r="F3" s="257"/>
      <c r="G3" s="257"/>
      <c r="H3" s="257"/>
      <c r="I3" s="332"/>
      <c r="J3" s="332"/>
      <c r="K3" s="332"/>
      <c r="L3" s="332"/>
      <c r="M3" s="257"/>
      <c r="N3" s="257"/>
      <c r="O3" s="257"/>
      <c r="P3" s="257"/>
      <c r="Q3" s="257"/>
    </row>
    <row r="4" spans="1:17" s="19" customFormat="1" ht="18">
      <c r="A4" s="336" t="s">
        <v>382</v>
      </c>
      <c r="B4" s="337">
        <v>1</v>
      </c>
      <c r="C4" s="335" t="s">
        <v>436</v>
      </c>
      <c r="D4" s="257"/>
      <c r="E4" s="257"/>
      <c r="F4" s="257"/>
      <c r="G4" s="335"/>
      <c r="H4" s="335"/>
      <c r="I4" s="338"/>
      <c r="J4" s="338"/>
      <c r="K4" s="338"/>
      <c r="L4" s="338"/>
      <c r="M4" s="335"/>
      <c r="N4" s="335"/>
      <c r="O4" s="257"/>
      <c r="P4" s="257"/>
      <c r="Q4" s="257"/>
    </row>
    <row r="5" spans="1:17" s="19" customFormat="1" ht="18">
      <c r="A5" s="258"/>
      <c r="B5" s="339">
        <v>2</v>
      </c>
      <c r="C5" s="335" t="s">
        <v>475</v>
      </c>
      <c r="D5" s="257"/>
      <c r="E5" s="257"/>
      <c r="F5" s="257"/>
      <c r="G5" s="335"/>
      <c r="H5" s="335"/>
      <c r="I5" s="338"/>
      <c r="J5" s="338"/>
      <c r="K5" s="338"/>
      <c r="L5" s="338"/>
      <c r="M5" s="335"/>
      <c r="N5" s="335"/>
      <c r="O5" s="257"/>
      <c r="P5" s="257"/>
      <c r="Q5" s="257"/>
    </row>
    <row r="6" spans="1:17" s="19" customFormat="1" ht="18">
      <c r="A6" s="258"/>
      <c r="B6" s="339">
        <v>3</v>
      </c>
      <c r="C6" s="335" t="s">
        <v>439</v>
      </c>
      <c r="D6" s="257"/>
      <c r="E6" s="257"/>
      <c r="F6" s="257"/>
      <c r="G6" s="335"/>
      <c r="H6" s="335"/>
      <c r="I6" s="338"/>
      <c r="J6" s="338"/>
      <c r="K6" s="338"/>
      <c r="L6" s="338"/>
      <c r="M6" s="335"/>
      <c r="N6" s="335"/>
      <c r="O6" s="257"/>
      <c r="P6" s="257"/>
      <c r="Q6" s="257"/>
    </row>
    <row r="7" spans="1:17" ht="30" customHeight="1" hidden="1">
      <c r="A7" s="99"/>
      <c r="B7" s="99"/>
      <c r="C7" s="99"/>
      <c r="D7" s="99"/>
      <c r="E7" s="99"/>
      <c r="F7" s="99"/>
      <c r="G7" s="99"/>
      <c r="H7" s="99"/>
      <c r="I7" s="340"/>
      <c r="J7" s="340"/>
      <c r="K7" s="340"/>
      <c r="L7" s="340"/>
      <c r="M7" s="590" t="s">
        <v>2</v>
      </c>
      <c r="N7" s="590"/>
      <c r="O7" s="590"/>
      <c r="P7" s="590"/>
      <c r="Q7" s="590"/>
    </row>
    <row r="8" spans="1:17" s="68" customFormat="1" ht="164.25" customHeight="1" hidden="1">
      <c r="A8" s="357" t="s">
        <v>492</v>
      </c>
      <c r="B8" s="357" t="s">
        <v>493</v>
      </c>
      <c r="C8" s="357" t="s">
        <v>494</v>
      </c>
      <c r="D8" s="357" t="s">
        <v>683</v>
      </c>
      <c r="E8" s="357" t="s">
        <v>559</v>
      </c>
      <c r="F8" s="357" t="s">
        <v>495</v>
      </c>
      <c r="G8" s="357" t="s">
        <v>497</v>
      </c>
      <c r="H8" s="357" t="s">
        <v>496</v>
      </c>
      <c r="I8" s="358" t="s">
        <v>3</v>
      </c>
      <c r="J8" s="358" t="s">
        <v>4</v>
      </c>
      <c r="K8" s="358" t="s">
        <v>5</v>
      </c>
      <c r="L8" s="358" t="s">
        <v>532</v>
      </c>
      <c r="M8" s="357" t="s">
        <v>684</v>
      </c>
      <c r="N8" s="357" t="s">
        <v>0</v>
      </c>
      <c r="O8" s="357" t="s">
        <v>499</v>
      </c>
      <c r="P8" s="357" t="s">
        <v>1</v>
      </c>
      <c r="Q8" s="357" t="s">
        <v>498</v>
      </c>
    </row>
    <row r="9" spans="1:19" ht="19.5" customHeight="1" hidden="1">
      <c r="A9" s="342">
        <v>41004</v>
      </c>
      <c r="B9" s="343">
        <v>-784.720406</v>
      </c>
      <c r="C9" s="343">
        <v>-821.9546720000002</v>
      </c>
      <c r="D9" s="344">
        <f aca="true" t="shared" si="0" ref="D9:D20">-(B9-C9)</f>
        <v>-37.23426600000016</v>
      </c>
      <c r="E9" s="246">
        <v>25.909</v>
      </c>
      <c r="F9" s="246">
        <v>4.39852</v>
      </c>
      <c r="G9" s="256"/>
      <c r="H9" s="345">
        <v>-8.0479079253</v>
      </c>
      <c r="I9" s="246"/>
      <c r="J9" s="246"/>
      <c r="K9" s="246"/>
      <c r="L9" s="246"/>
      <c r="M9" s="246"/>
      <c r="N9" s="246"/>
      <c r="O9" s="246"/>
      <c r="P9" s="246"/>
      <c r="Q9" s="346"/>
      <c r="S9" s="20">
        <f>25.909-63.144</f>
        <v>-37.235</v>
      </c>
    </row>
    <row r="10" spans="1:17" ht="19.5" customHeight="1" hidden="1">
      <c r="A10" s="342">
        <v>41034</v>
      </c>
      <c r="B10" s="343">
        <v>-757.4424470000002</v>
      </c>
      <c r="C10" s="343">
        <v>-765.3230520000001</v>
      </c>
      <c r="D10" s="344">
        <f t="shared" si="0"/>
        <v>-7.880604999999832</v>
      </c>
      <c r="E10" s="246">
        <v>36.19</v>
      </c>
      <c r="F10" s="246">
        <v>7.97039</v>
      </c>
      <c r="G10" s="256"/>
      <c r="H10" s="345">
        <v>-3.5103861</v>
      </c>
      <c r="I10" s="246"/>
      <c r="J10" s="246"/>
      <c r="K10" s="246"/>
      <c r="L10" s="246"/>
      <c r="M10" s="246"/>
      <c r="N10" s="246"/>
      <c r="O10" s="246"/>
      <c r="P10" s="246"/>
      <c r="Q10" s="346"/>
    </row>
    <row r="11" spans="1:17" ht="19.5" customHeight="1" hidden="1">
      <c r="A11" s="342">
        <v>41065</v>
      </c>
      <c r="B11" s="343">
        <v>-674.095555</v>
      </c>
      <c r="C11" s="343">
        <v>-675.297414</v>
      </c>
      <c r="D11" s="344">
        <f t="shared" si="0"/>
        <v>-1.2018590000000131</v>
      </c>
      <c r="E11" s="246">
        <v>45.398</v>
      </c>
      <c r="F11" s="246">
        <v>17.95437</v>
      </c>
      <c r="G11" s="256"/>
      <c r="H11" s="345">
        <v>2.814850048</v>
      </c>
      <c r="I11" s="246"/>
      <c r="J11" s="246"/>
      <c r="K11" s="246"/>
      <c r="L11" s="246"/>
      <c r="M11" s="246"/>
      <c r="N11" s="246"/>
      <c r="O11" s="246"/>
      <c r="P11" s="246"/>
      <c r="Q11" s="346"/>
    </row>
    <row r="12" spans="1:17" ht="19.5" customHeight="1" hidden="1">
      <c r="A12" s="342">
        <v>41095</v>
      </c>
      <c r="B12" s="343">
        <v>-594.7418030000001</v>
      </c>
      <c r="C12" s="343">
        <v>-660.585675</v>
      </c>
      <c r="D12" s="344">
        <f t="shared" si="0"/>
        <v>-65.84387199999992</v>
      </c>
      <c r="E12" s="246">
        <v>21.687</v>
      </c>
      <c r="F12" s="246">
        <v>8.18428</v>
      </c>
      <c r="G12" s="256"/>
      <c r="H12" s="345">
        <v>-13.794212348</v>
      </c>
      <c r="I12" s="246"/>
      <c r="J12" s="246"/>
      <c r="K12" s="246"/>
      <c r="L12" s="246"/>
      <c r="M12" s="246"/>
      <c r="N12" s="246"/>
      <c r="O12" s="246"/>
      <c r="P12" s="246"/>
      <c r="Q12" s="346"/>
    </row>
    <row r="13" spans="1:17" ht="19.5" customHeight="1" hidden="1">
      <c r="A13" s="342">
        <v>41126</v>
      </c>
      <c r="B13" s="343">
        <v>-411.20214899999996</v>
      </c>
      <c r="C13" s="343">
        <v>-459.599512</v>
      </c>
      <c r="D13" s="344">
        <f t="shared" si="0"/>
        <v>-48.39736300000004</v>
      </c>
      <c r="E13" s="246">
        <v>24.006</v>
      </c>
      <c r="F13" s="246">
        <v>3.94429</v>
      </c>
      <c r="G13" s="256"/>
      <c r="H13" s="345">
        <v>-6.4037188</v>
      </c>
      <c r="I13" s="246"/>
      <c r="J13" s="246"/>
      <c r="K13" s="246"/>
      <c r="L13" s="246"/>
      <c r="M13" s="246"/>
      <c r="N13" s="246"/>
      <c r="O13" s="246"/>
      <c r="P13" s="246"/>
      <c r="Q13" s="346"/>
    </row>
    <row r="14" spans="1:17" ht="19.5" customHeight="1" hidden="1">
      <c r="A14" s="342">
        <v>41157</v>
      </c>
      <c r="B14" s="343">
        <v>-235.15655400000003</v>
      </c>
      <c r="C14" s="343">
        <v>-259.3107969999999</v>
      </c>
      <c r="D14" s="344">
        <f t="shared" si="0"/>
        <v>-24.154242999999894</v>
      </c>
      <c r="E14" s="246">
        <v>16.393</v>
      </c>
      <c r="F14" s="246">
        <v>3.7876</v>
      </c>
      <c r="G14" s="256"/>
      <c r="H14" s="345">
        <v>0.8118255</v>
      </c>
      <c r="I14" s="246"/>
      <c r="J14" s="246"/>
      <c r="K14" s="246"/>
      <c r="L14" s="246"/>
      <c r="M14" s="246"/>
      <c r="N14" s="246"/>
      <c r="O14" s="246"/>
      <c r="P14" s="246"/>
      <c r="Q14" s="346"/>
    </row>
    <row r="15" spans="1:17" ht="19.5" customHeight="1" hidden="1">
      <c r="A15" s="342">
        <v>41187</v>
      </c>
      <c r="B15" s="343">
        <v>-326.10815099999996</v>
      </c>
      <c r="C15" s="343">
        <v>-339.06771999999995</v>
      </c>
      <c r="D15" s="344">
        <f t="shared" si="0"/>
        <v>-12.959568999999988</v>
      </c>
      <c r="E15" s="246">
        <v>8.157</v>
      </c>
      <c r="F15" s="246">
        <v>4.21599</v>
      </c>
      <c r="G15" s="256"/>
      <c r="H15" s="345">
        <v>3.9513074</v>
      </c>
      <c r="I15" s="246"/>
      <c r="J15" s="246"/>
      <c r="K15" s="246"/>
      <c r="L15" s="246"/>
      <c r="M15" s="246"/>
      <c r="N15" s="246"/>
      <c r="O15" s="246"/>
      <c r="P15" s="246"/>
      <c r="Q15" s="346"/>
    </row>
    <row r="16" spans="1:17" ht="19.5" customHeight="1" hidden="1">
      <c r="A16" s="342">
        <v>41218</v>
      </c>
      <c r="B16" s="347">
        <v>-445.111593</v>
      </c>
      <c r="C16" s="348">
        <v>-464.017786</v>
      </c>
      <c r="D16" s="349">
        <f t="shared" si="0"/>
        <v>-18.906192999999973</v>
      </c>
      <c r="E16" s="244">
        <v>6.912</v>
      </c>
      <c r="F16" s="244">
        <v>1.83377</v>
      </c>
      <c r="G16" s="256"/>
      <c r="H16" s="350">
        <v>-1.1126971</v>
      </c>
      <c r="I16" s="246"/>
      <c r="J16" s="246"/>
      <c r="K16" s="246"/>
      <c r="L16" s="246"/>
      <c r="M16" s="246"/>
      <c r="N16" s="246"/>
      <c r="O16" s="246"/>
      <c r="P16" s="246"/>
      <c r="Q16" s="351"/>
    </row>
    <row r="17" spans="1:17" ht="19.5" customHeight="1" hidden="1">
      <c r="A17" s="342">
        <v>41248</v>
      </c>
      <c r="B17" s="347">
        <v>-524.440912</v>
      </c>
      <c r="C17" s="348">
        <v>-516.454447</v>
      </c>
      <c r="D17" s="349">
        <f t="shared" si="0"/>
        <v>7.9864650000000665</v>
      </c>
      <c r="E17" s="244">
        <v>17.964</v>
      </c>
      <c r="F17" s="244">
        <v>5.62204</v>
      </c>
      <c r="G17" s="256"/>
      <c r="H17" s="350">
        <v>3.944029172</v>
      </c>
      <c r="I17" s="246"/>
      <c r="J17" s="246"/>
      <c r="K17" s="246"/>
      <c r="L17" s="246"/>
      <c r="M17" s="246"/>
      <c r="N17" s="246"/>
      <c r="O17" s="246"/>
      <c r="P17" s="246"/>
      <c r="Q17" s="352"/>
    </row>
    <row r="18" spans="1:17" ht="19.5" customHeight="1" hidden="1">
      <c r="A18" s="342">
        <v>41279</v>
      </c>
      <c r="B18" s="347">
        <v>-463.59444599999995</v>
      </c>
      <c r="C18" s="348">
        <v>-473.27543399999985</v>
      </c>
      <c r="D18" s="349">
        <f t="shared" si="0"/>
        <v>-9.6809879999999</v>
      </c>
      <c r="E18" s="244">
        <v>10.044</v>
      </c>
      <c r="F18" s="244">
        <v>4.50178</v>
      </c>
      <c r="G18" s="256"/>
      <c r="H18" s="350">
        <v>3.051751598</v>
      </c>
      <c r="I18" s="246"/>
      <c r="J18" s="246"/>
      <c r="K18" s="246"/>
      <c r="L18" s="246"/>
      <c r="M18" s="246"/>
      <c r="N18" s="246"/>
      <c r="O18" s="246"/>
      <c r="P18" s="246"/>
      <c r="Q18" s="352"/>
    </row>
    <row r="19" spans="1:17" ht="19.5" customHeight="1" hidden="1">
      <c r="A19" s="342">
        <v>41310</v>
      </c>
      <c r="B19" s="347">
        <v>-362.294997</v>
      </c>
      <c r="C19" s="348">
        <v>-432.3090630000001</v>
      </c>
      <c r="D19" s="349">
        <f t="shared" si="0"/>
        <v>-70.01406600000007</v>
      </c>
      <c r="E19" s="244">
        <v>0</v>
      </c>
      <c r="F19" s="244">
        <v>0.00985</v>
      </c>
      <c r="G19" s="256"/>
      <c r="H19" s="350">
        <v>-6.2301236</v>
      </c>
      <c r="I19" s="246"/>
      <c r="J19" s="246"/>
      <c r="K19" s="246"/>
      <c r="L19" s="246"/>
      <c r="M19" s="246"/>
      <c r="N19" s="246"/>
      <c r="O19" s="246"/>
      <c r="P19" s="246"/>
      <c r="Q19" s="352"/>
    </row>
    <row r="20" spans="1:17" ht="19.5" customHeight="1" hidden="1">
      <c r="A20" s="342">
        <v>41338</v>
      </c>
      <c r="B20" s="347">
        <v>-438.65343399999995</v>
      </c>
      <c r="C20" s="348">
        <v>-507.65860499999997</v>
      </c>
      <c r="D20" s="349">
        <f t="shared" si="0"/>
        <v>-69.00517100000002</v>
      </c>
      <c r="E20" s="246">
        <v>2.471</v>
      </c>
      <c r="F20" s="246">
        <v>0.39831</v>
      </c>
      <c r="G20" s="256"/>
      <c r="H20" s="350">
        <v>-7.207647</v>
      </c>
      <c r="I20" s="246"/>
      <c r="J20" s="246"/>
      <c r="K20" s="246"/>
      <c r="L20" s="246"/>
      <c r="M20" s="246"/>
      <c r="N20" s="246"/>
      <c r="O20" s="246"/>
      <c r="P20" s="246"/>
      <c r="Q20" s="352"/>
    </row>
    <row r="21" spans="1:17" s="21" customFormat="1" ht="19.5" customHeight="1" hidden="1">
      <c r="A21" s="353" t="s">
        <v>381</v>
      </c>
      <c r="B21" s="354">
        <f>SUM(B9:B20)</f>
        <v>-6017.562447</v>
      </c>
      <c r="C21" s="354">
        <f>SUM(C9:C20)</f>
        <v>-6374.854177</v>
      </c>
      <c r="D21" s="354">
        <f>SUM(D9:D20)</f>
        <v>-357.29172999999975</v>
      </c>
      <c r="E21" s="354">
        <f>SUM(E9:E20)</f>
        <v>215.13100000000003</v>
      </c>
      <c r="F21" s="354">
        <f>SUM(F9:F20)</f>
        <v>62.821189999999994</v>
      </c>
      <c r="G21" s="255"/>
      <c r="H21" s="354">
        <f>SUM(H9:H20)</f>
        <v>-31.732929155299992</v>
      </c>
      <c r="I21" s="246"/>
      <c r="J21" s="246"/>
      <c r="K21" s="246"/>
      <c r="L21" s="246"/>
      <c r="M21" s="246"/>
      <c r="N21" s="246"/>
      <c r="O21" s="246"/>
      <c r="P21" s="246"/>
      <c r="Q21" s="352"/>
    </row>
    <row r="22" spans="1:17" ht="18" hidden="1">
      <c r="A22" s="644" t="s">
        <v>597</v>
      </c>
      <c r="B22" s="645"/>
      <c r="C22" s="645"/>
      <c r="D22" s="645"/>
      <c r="E22" s="645"/>
      <c r="F22" s="645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</row>
    <row r="23" spans="1:17" ht="18" hidden="1">
      <c r="A23" s="644" t="s">
        <v>598</v>
      </c>
      <c r="B23" s="645"/>
      <c r="C23" s="645"/>
      <c r="D23" s="645"/>
      <c r="E23" s="645"/>
      <c r="F23" s="645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</row>
    <row r="24" spans="1:17" ht="157.5">
      <c r="A24" s="341" t="s">
        <v>492</v>
      </c>
      <c r="B24" s="341" t="s">
        <v>493</v>
      </c>
      <c r="C24" s="341" t="s">
        <v>494</v>
      </c>
      <c r="D24" s="341" t="s">
        <v>681</v>
      </c>
      <c r="E24" s="341" t="s">
        <v>559</v>
      </c>
      <c r="F24" s="341" t="s">
        <v>495</v>
      </c>
      <c r="G24" s="341" t="s">
        <v>497</v>
      </c>
      <c r="H24" s="341" t="s">
        <v>496</v>
      </c>
      <c r="I24" s="358" t="s">
        <v>3</v>
      </c>
      <c r="J24" s="358" t="s">
        <v>4</v>
      </c>
      <c r="K24" s="358" t="s">
        <v>5</v>
      </c>
      <c r="L24" s="358" t="s">
        <v>532</v>
      </c>
      <c r="M24" s="341" t="s">
        <v>682</v>
      </c>
      <c r="N24" s="341" t="s">
        <v>0</v>
      </c>
      <c r="O24" s="341" t="s">
        <v>499</v>
      </c>
      <c r="P24" s="341" t="s">
        <v>1</v>
      </c>
      <c r="Q24" s="341" t="s">
        <v>498</v>
      </c>
    </row>
    <row r="25" spans="1:17" ht="18">
      <c r="A25" s="342">
        <v>41369</v>
      </c>
      <c r="B25" s="343">
        <v>-273.51182099999994</v>
      </c>
      <c r="C25" s="343">
        <v>-326.885367</v>
      </c>
      <c r="D25" s="344">
        <f aca="true" t="shared" si="1" ref="D25:D36">-(B25-C25)</f>
        <v>-53.37354600000003</v>
      </c>
      <c r="E25" s="246">
        <v>2.395513</v>
      </c>
      <c r="F25" s="246">
        <v>0.548513945</v>
      </c>
      <c r="G25" s="345"/>
      <c r="H25" s="355">
        <v>-5.885516</v>
      </c>
      <c r="I25" s="246"/>
      <c r="J25" s="246"/>
      <c r="K25" s="246"/>
      <c r="L25" s="246"/>
      <c r="M25" s="246"/>
      <c r="N25" s="246"/>
      <c r="O25" s="246"/>
      <c r="P25" s="246"/>
      <c r="Q25" s="346">
        <f aca="true" t="shared" si="2" ref="Q25:Q32">G25/D25*1000</f>
        <v>0</v>
      </c>
    </row>
    <row r="26" spans="1:17" ht="18">
      <c r="A26" s="342">
        <v>41399</v>
      </c>
      <c r="B26" s="343">
        <v>-299.1358929999999</v>
      </c>
      <c r="C26" s="343">
        <v>-353.0983550000001</v>
      </c>
      <c r="D26" s="344">
        <f t="shared" si="1"/>
        <v>-53.96246200000019</v>
      </c>
      <c r="E26" s="246">
        <v>7.881157</v>
      </c>
      <c r="F26" s="246">
        <v>3.864667194</v>
      </c>
      <c r="G26" s="345"/>
      <c r="H26" s="355">
        <v>-0.8947346</v>
      </c>
      <c r="I26" s="246"/>
      <c r="J26" s="246"/>
      <c r="K26" s="246"/>
      <c r="L26" s="246"/>
      <c r="M26" s="246"/>
      <c r="N26" s="246"/>
      <c r="O26" s="246"/>
      <c r="P26" s="246"/>
      <c r="Q26" s="346">
        <f t="shared" si="2"/>
        <v>0</v>
      </c>
    </row>
    <row r="27" spans="1:17" ht="18">
      <c r="A27" s="342">
        <v>41430</v>
      </c>
      <c r="B27" s="343">
        <v>-475.3023180000001</v>
      </c>
      <c r="C27" s="343">
        <v>-530.1079479999999</v>
      </c>
      <c r="D27" s="344">
        <f t="shared" si="1"/>
        <v>-54.805629999999724</v>
      </c>
      <c r="E27" s="246">
        <v>7.18581</v>
      </c>
      <c r="F27" s="246">
        <v>1.8132225229</v>
      </c>
      <c r="G27" s="345"/>
      <c r="H27" s="355">
        <v>-0.4347308</v>
      </c>
      <c r="I27" s="246"/>
      <c r="J27" s="246"/>
      <c r="K27" s="246"/>
      <c r="L27" s="246"/>
      <c r="M27" s="246"/>
      <c r="N27" s="246"/>
      <c r="O27" s="246"/>
      <c r="P27" s="246"/>
      <c r="Q27" s="346">
        <f t="shared" si="2"/>
        <v>0</v>
      </c>
    </row>
    <row r="28" spans="1:17" ht="18">
      <c r="A28" s="342">
        <v>41460</v>
      </c>
      <c r="B28" s="343">
        <v>-488.2923000000001</v>
      </c>
      <c r="C28" s="343">
        <v>-576.262893</v>
      </c>
      <c r="D28" s="344">
        <f t="shared" si="1"/>
        <v>-87.97059299999984</v>
      </c>
      <c r="E28" s="246">
        <v>2.965556</v>
      </c>
      <c r="F28" s="246">
        <v>0.504211252</v>
      </c>
      <c r="G28" s="345"/>
      <c r="H28" s="355">
        <v>-6.0374338</v>
      </c>
      <c r="I28" s="246"/>
      <c r="J28" s="246"/>
      <c r="K28" s="246"/>
      <c r="L28" s="246"/>
      <c r="M28" s="246"/>
      <c r="N28" s="246"/>
      <c r="O28" s="246"/>
      <c r="P28" s="246"/>
      <c r="Q28" s="346">
        <f t="shared" si="2"/>
        <v>0</v>
      </c>
    </row>
    <row r="29" spans="1:17" ht="18">
      <c r="A29" s="342">
        <v>41491</v>
      </c>
      <c r="B29" s="343">
        <v>-555.3731179999999</v>
      </c>
      <c r="C29" s="343">
        <v>-612.290747</v>
      </c>
      <c r="D29" s="344">
        <f t="shared" si="1"/>
        <v>-56.91762900000015</v>
      </c>
      <c r="E29" s="246">
        <v>5.955304</v>
      </c>
      <c r="F29" s="246">
        <v>0.374403</v>
      </c>
      <c r="G29" s="345"/>
      <c r="H29" s="355">
        <v>0.1319827</v>
      </c>
      <c r="I29" s="246"/>
      <c r="J29" s="246"/>
      <c r="K29" s="246"/>
      <c r="L29" s="246"/>
      <c r="M29" s="246"/>
      <c r="N29" s="246"/>
      <c r="O29" s="246"/>
      <c r="P29" s="246"/>
      <c r="Q29" s="346">
        <f t="shared" si="2"/>
        <v>0</v>
      </c>
    </row>
    <row r="30" spans="1:17" ht="18">
      <c r="A30" s="342">
        <v>41522</v>
      </c>
      <c r="B30" s="343">
        <v>-394.1588050000001</v>
      </c>
      <c r="C30" s="343">
        <v>-379.437938</v>
      </c>
      <c r="D30" s="344">
        <f t="shared" si="1"/>
        <v>14.720867000000112</v>
      </c>
      <c r="E30" s="246">
        <v>27.445016</v>
      </c>
      <c r="F30" s="246">
        <v>8.967949499</v>
      </c>
      <c r="G30" s="345"/>
      <c r="H30" s="355">
        <v>8.179119003</v>
      </c>
      <c r="I30" s="246"/>
      <c r="J30" s="246"/>
      <c r="K30" s="246"/>
      <c r="L30" s="246"/>
      <c r="M30" s="246"/>
      <c r="N30" s="246"/>
      <c r="O30" s="246"/>
      <c r="P30" s="246"/>
      <c r="Q30" s="346">
        <f t="shared" si="2"/>
        <v>0</v>
      </c>
    </row>
    <row r="31" spans="1:17" ht="18">
      <c r="A31" s="342">
        <v>41552</v>
      </c>
      <c r="B31" s="343">
        <v>-278.12906</v>
      </c>
      <c r="C31" s="343">
        <v>-219.088263</v>
      </c>
      <c r="D31" s="344">
        <f t="shared" si="1"/>
        <v>59.04079699999997</v>
      </c>
      <c r="E31" s="246">
        <v>61.559964</v>
      </c>
      <c r="F31" s="246">
        <v>12.31446142</v>
      </c>
      <c r="G31" s="345"/>
      <c r="H31" s="355">
        <v>12.229898575</v>
      </c>
      <c r="I31" s="246"/>
      <c r="J31" s="246"/>
      <c r="K31" s="246"/>
      <c r="L31" s="246"/>
      <c r="M31" s="246"/>
      <c r="N31" s="246"/>
      <c r="O31" s="246"/>
      <c r="P31" s="246"/>
      <c r="Q31" s="346">
        <f t="shared" si="2"/>
        <v>0</v>
      </c>
    </row>
    <row r="32" spans="1:17" ht="18">
      <c r="A32" s="342">
        <v>41583</v>
      </c>
      <c r="B32" s="347">
        <v>-245.097807</v>
      </c>
      <c r="C32" s="348">
        <v>-181.830285</v>
      </c>
      <c r="D32" s="349">
        <f t="shared" si="1"/>
        <v>63.267521999999985</v>
      </c>
      <c r="E32" s="244">
        <v>64.120756</v>
      </c>
      <c r="F32" s="244">
        <v>14.498525576</v>
      </c>
      <c r="G32" s="350"/>
      <c r="H32" s="355">
        <v>14.459684148</v>
      </c>
      <c r="I32" s="246"/>
      <c r="J32" s="246"/>
      <c r="K32" s="246"/>
      <c r="L32" s="246"/>
      <c r="M32" s="246"/>
      <c r="N32" s="246"/>
      <c r="O32" s="246"/>
      <c r="P32" s="246"/>
      <c r="Q32" s="351">
        <f t="shared" si="2"/>
        <v>0</v>
      </c>
    </row>
    <row r="33" spans="1:17" ht="18">
      <c r="A33" s="342">
        <v>41613</v>
      </c>
      <c r="B33" s="347">
        <v>-373.097117</v>
      </c>
      <c r="C33" s="348">
        <v>-387.909782</v>
      </c>
      <c r="D33" s="349">
        <f t="shared" si="1"/>
        <v>-14.812664999999981</v>
      </c>
      <c r="E33" s="244">
        <v>6.951389</v>
      </c>
      <c r="F33" s="244">
        <v>2.959466487</v>
      </c>
      <c r="G33" s="350"/>
      <c r="H33" s="355">
        <v>0.450061387</v>
      </c>
      <c r="I33" s="246"/>
      <c r="J33" s="246"/>
      <c r="K33" s="246"/>
      <c r="L33" s="246"/>
      <c r="M33" s="246"/>
      <c r="N33" s="246"/>
      <c r="O33" s="246"/>
      <c r="P33" s="246"/>
      <c r="Q33" s="352"/>
    </row>
    <row r="34" spans="1:17" ht="18">
      <c r="A34" s="342">
        <v>41644</v>
      </c>
      <c r="B34" s="347">
        <v>-390.61646</v>
      </c>
      <c r="C34" s="348">
        <v>-422.41872</v>
      </c>
      <c r="D34" s="349">
        <f t="shared" si="1"/>
        <v>-31.80225999999999</v>
      </c>
      <c r="E34" s="244">
        <v>4.577665</v>
      </c>
      <c r="F34" s="244">
        <v>0.821252527</v>
      </c>
      <c r="G34" s="350"/>
      <c r="H34" s="355">
        <v>-0.990900324</v>
      </c>
      <c r="I34" s="246"/>
      <c r="J34" s="246"/>
      <c r="K34" s="246"/>
      <c r="L34" s="246"/>
      <c r="M34" s="246"/>
      <c r="N34" s="246"/>
      <c r="O34" s="246"/>
      <c r="P34" s="246"/>
      <c r="Q34" s="352"/>
    </row>
    <row r="35" spans="1:17" ht="18">
      <c r="A35" s="342">
        <v>41675</v>
      </c>
      <c r="B35" s="347">
        <v>-286.34444</v>
      </c>
      <c r="C35" s="348">
        <v>-301.175042</v>
      </c>
      <c r="D35" s="349">
        <f t="shared" si="1"/>
        <v>-14.830601999999999</v>
      </c>
      <c r="E35" s="244">
        <v>6.492058</v>
      </c>
      <c r="F35" s="244">
        <v>1.7955044657</v>
      </c>
      <c r="G35" s="350"/>
      <c r="H35" s="355">
        <v>0.051970089</v>
      </c>
      <c r="I35" s="246"/>
      <c r="J35" s="246"/>
      <c r="K35" s="246"/>
      <c r="L35" s="246"/>
      <c r="M35" s="246"/>
      <c r="N35" s="246"/>
      <c r="O35" s="246"/>
      <c r="P35" s="246"/>
      <c r="Q35" s="352"/>
    </row>
    <row r="36" spans="1:17" ht="18">
      <c r="A36" s="342">
        <v>41703</v>
      </c>
      <c r="B36" s="347">
        <v>-424.617631</v>
      </c>
      <c r="C36" s="348">
        <v>-444.292302</v>
      </c>
      <c r="D36" s="349">
        <f t="shared" si="1"/>
        <v>-19.67467099999999</v>
      </c>
      <c r="E36" s="246">
        <v>2.799784</v>
      </c>
      <c r="F36" s="246">
        <v>1.15905539</v>
      </c>
      <c r="G36" s="350"/>
      <c r="H36" s="246">
        <v>-1.556265388</v>
      </c>
      <c r="I36" s="246"/>
      <c r="J36" s="246"/>
      <c r="K36" s="246"/>
      <c r="L36" s="246"/>
      <c r="M36" s="246"/>
      <c r="N36" s="246"/>
      <c r="O36" s="246"/>
      <c r="P36" s="246"/>
      <c r="Q36" s="352"/>
    </row>
    <row r="37" spans="1:17" ht="18">
      <c r="A37" s="353" t="s">
        <v>381</v>
      </c>
      <c r="B37" s="356">
        <f aca="true" t="shared" si="3" ref="B37:H37">SUM(B25:B36)</f>
        <v>-4483.67677</v>
      </c>
      <c r="C37" s="349">
        <f t="shared" si="3"/>
        <v>-4734.797642</v>
      </c>
      <c r="D37" s="356">
        <f t="shared" si="3"/>
        <v>-251.12087199999982</v>
      </c>
      <c r="E37" s="356">
        <f t="shared" si="3"/>
        <v>200.329972</v>
      </c>
      <c r="F37" s="356">
        <f t="shared" si="3"/>
        <v>49.621233278599995</v>
      </c>
      <c r="G37" s="356">
        <f t="shared" si="3"/>
        <v>0</v>
      </c>
      <c r="H37" s="356">
        <f t="shared" si="3"/>
        <v>19.703134990000002</v>
      </c>
      <c r="I37" s="246"/>
      <c r="J37" s="246"/>
      <c r="K37" s="246"/>
      <c r="L37" s="246"/>
      <c r="M37" s="246"/>
      <c r="N37" s="246"/>
      <c r="O37" s="246"/>
      <c r="P37" s="246"/>
      <c r="Q37" s="352"/>
    </row>
    <row r="38" spans="1:17" ht="15">
      <c r="A38" s="642" t="s">
        <v>597</v>
      </c>
      <c r="B38" s="643"/>
      <c r="C38" s="643"/>
      <c r="D38" s="643"/>
      <c r="E38" s="643"/>
      <c r="F38" s="643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</row>
    <row r="39" spans="1:17" ht="15">
      <c r="A39" s="642" t="s">
        <v>598</v>
      </c>
      <c r="B39" s="643"/>
      <c r="C39" s="643"/>
      <c r="D39" s="643"/>
      <c r="E39" s="643"/>
      <c r="F39" s="643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</row>
    <row r="41" spans="1:17" ht="157.5">
      <c r="A41" s="341" t="s">
        <v>492</v>
      </c>
      <c r="B41" s="341" t="s">
        <v>493</v>
      </c>
      <c r="C41" s="341" t="s">
        <v>494</v>
      </c>
      <c r="D41" s="341" t="s">
        <v>681</v>
      </c>
      <c r="E41" s="341" t="s">
        <v>559</v>
      </c>
      <c r="F41" s="341" t="s">
        <v>495</v>
      </c>
      <c r="G41" s="341" t="s">
        <v>497</v>
      </c>
      <c r="H41" s="341" t="s">
        <v>496</v>
      </c>
      <c r="I41" s="358" t="s">
        <v>3</v>
      </c>
      <c r="J41" s="358" t="s">
        <v>4</v>
      </c>
      <c r="K41" s="358" t="s">
        <v>5</v>
      </c>
      <c r="L41" s="358" t="s">
        <v>532</v>
      </c>
      <c r="M41" s="341" t="s">
        <v>682</v>
      </c>
      <c r="N41" s="341" t="s">
        <v>0</v>
      </c>
      <c r="O41" s="341" t="s">
        <v>499</v>
      </c>
      <c r="P41" s="341" t="s">
        <v>1</v>
      </c>
      <c r="Q41" s="341" t="s">
        <v>498</v>
      </c>
    </row>
    <row r="42" spans="1:17" ht="18">
      <c r="A42" s="342">
        <v>41734</v>
      </c>
      <c r="B42" s="343">
        <v>-613.888843</v>
      </c>
      <c r="C42" s="343">
        <v>-599.568873</v>
      </c>
      <c r="D42" s="344">
        <f aca="true" t="shared" si="4" ref="D42:D53">-(B42-C42)</f>
        <v>14.319969999999898</v>
      </c>
      <c r="E42" s="246">
        <v>19.430592</v>
      </c>
      <c r="F42" s="246">
        <v>8.833462318</v>
      </c>
      <c r="G42" s="345"/>
      <c r="H42" s="355">
        <v>7.132112</v>
      </c>
      <c r="I42" s="246"/>
      <c r="J42" s="246"/>
      <c r="K42" s="246"/>
      <c r="L42" s="246"/>
      <c r="M42" s="246"/>
      <c r="N42" s="246"/>
      <c r="O42" s="246"/>
      <c r="P42" s="246"/>
      <c r="Q42" s="346">
        <f aca="true" t="shared" si="5" ref="Q42:Q49">G42/D42*1000</f>
        <v>0</v>
      </c>
    </row>
    <row r="43" spans="1:17" ht="18">
      <c r="A43" s="342">
        <v>41764</v>
      </c>
      <c r="B43" s="343">
        <v>-664.18997</v>
      </c>
      <c r="C43" s="343">
        <v>-670.610135</v>
      </c>
      <c r="D43" s="344">
        <f t="shared" si="4"/>
        <v>-6.420164999999997</v>
      </c>
      <c r="E43" s="246">
        <v>15.028791</v>
      </c>
      <c r="F43" s="246">
        <v>6.10187099</v>
      </c>
      <c r="G43" s="345"/>
      <c r="H43" s="355">
        <v>4.3507274</v>
      </c>
      <c r="I43" s="246"/>
      <c r="J43" s="246"/>
      <c r="K43" s="246"/>
      <c r="L43" s="246"/>
      <c r="M43" s="246"/>
      <c r="N43" s="246"/>
      <c r="O43" s="246"/>
      <c r="P43" s="246"/>
      <c r="Q43" s="346">
        <f t="shared" si="5"/>
        <v>0</v>
      </c>
    </row>
    <row r="44" spans="1:17" ht="18">
      <c r="A44" s="342">
        <v>41795</v>
      </c>
      <c r="B44" s="343">
        <v>-517.791487</v>
      </c>
      <c r="C44" s="343">
        <v>-566.960235</v>
      </c>
      <c r="D44" s="344">
        <f t="shared" si="4"/>
        <v>-49.16874800000005</v>
      </c>
      <c r="E44" s="246">
        <v>3.7939</v>
      </c>
      <c r="F44" s="246">
        <v>0.048118804</v>
      </c>
      <c r="G44" s="345"/>
      <c r="H44" s="355">
        <v>-13.4662152</v>
      </c>
      <c r="I44" s="246"/>
      <c r="J44" s="246"/>
      <c r="K44" s="246"/>
      <c r="L44" s="246"/>
      <c r="M44" s="246"/>
      <c r="N44" s="246"/>
      <c r="O44" s="246"/>
      <c r="P44" s="246"/>
      <c r="Q44" s="346">
        <f t="shared" si="5"/>
        <v>0</v>
      </c>
    </row>
    <row r="45" spans="1:17" ht="18">
      <c r="A45" s="342">
        <v>41825</v>
      </c>
      <c r="B45" s="343">
        <v>-811.581052</v>
      </c>
      <c r="C45" s="343">
        <v>-843.254334</v>
      </c>
      <c r="D45" s="344">
        <f t="shared" si="4"/>
        <v>-31.673281999999972</v>
      </c>
      <c r="E45" s="246">
        <v>6.478675</v>
      </c>
      <c r="F45" s="246">
        <v>6.648365887</v>
      </c>
      <c r="G45" s="345"/>
      <c r="H45" s="355">
        <v>-0.5071795</v>
      </c>
      <c r="I45" s="246"/>
      <c r="J45" s="246"/>
      <c r="K45" s="246"/>
      <c r="L45" s="246"/>
      <c r="M45" s="246"/>
      <c r="N45" s="246"/>
      <c r="O45" s="246"/>
      <c r="P45" s="246"/>
      <c r="Q45" s="346">
        <f t="shared" si="5"/>
        <v>0</v>
      </c>
    </row>
    <row r="46" spans="1:17" ht="18">
      <c r="A46" s="342">
        <v>41856</v>
      </c>
      <c r="B46" s="343">
        <v>-497.058935</v>
      </c>
      <c r="C46" s="343">
        <v>-479.814513</v>
      </c>
      <c r="D46" s="344">
        <f t="shared" si="4"/>
        <v>17.244422000000043</v>
      </c>
      <c r="E46" s="246">
        <v>25.990494</v>
      </c>
      <c r="F46" s="246">
        <v>14.358488433</v>
      </c>
      <c r="G46" s="345"/>
      <c r="H46" s="355">
        <v>10.302842</v>
      </c>
      <c r="I46" s="246"/>
      <c r="J46" s="246"/>
      <c r="K46" s="246"/>
      <c r="L46" s="246"/>
      <c r="M46" s="246"/>
      <c r="N46" s="246"/>
      <c r="O46" s="246"/>
      <c r="P46" s="246"/>
      <c r="Q46" s="346">
        <f t="shared" si="5"/>
        <v>0</v>
      </c>
    </row>
    <row r="47" spans="1:17" ht="18">
      <c r="A47" s="342">
        <v>41887</v>
      </c>
      <c r="B47" s="343">
        <v>-476.604254</v>
      </c>
      <c r="C47" s="343">
        <v>-475.920651</v>
      </c>
      <c r="D47" s="344">
        <f t="shared" si="4"/>
        <v>0.6836030000000051</v>
      </c>
      <c r="E47" s="246">
        <v>8.540557</v>
      </c>
      <c r="F47" s="246">
        <v>0.353852754</v>
      </c>
      <c r="G47" s="345"/>
      <c r="H47" s="20">
        <v>1.3675113</v>
      </c>
      <c r="I47" s="246"/>
      <c r="J47" s="246"/>
      <c r="K47" s="246"/>
      <c r="L47" s="246"/>
      <c r="M47" s="246"/>
      <c r="N47" s="246"/>
      <c r="O47" s="246"/>
      <c r="P47" s="246"/>
      <c r="Q47" s="346">
        <f t="shared" si="5"/>
        <v>0</v>
      </c>
    </row>
    <row r="48" spans="1:17" ht="18">
      <c r="A48" s="342">
        <v>41917</v>
      </c>
      <c r="B48" s="343">
        <v>-493.475163</v>
      </c>
      <c r="C48" s="343">
        <v>-520.133511</v>
      </c>
      <c r="D48" s="344">
        <f t="shared" si="4"/>
        <v>-26.65834799999999</v>
      </c>
      <c r="E48" s="246">
        <v>2.866708</v>
      </c>
      <c r="F48" s="246">
        <v>2.892959972</v>
      </c>
      <c r="G48" s="345"/>
      <c r="H48" s="355">
        <v>-2.8063722</v>
      </c>
      <c r="I48" s="246"/>
      <c r="J48" s="246"/>
      <c r="K48" s="246"/>
      <c r="L48" s="246"/>
      <c r="M48" s="246"/>
      <c r="N48" s="246"/>
      <c r="O48" s="246"/>
      <c r="P48" s="246"/>
      <c r="Q48" s="346">
        <f t="shared" si="5"/>
        <v>0</v>
      </c>
    </row>
    <row r="49" spans="1:17" ht="18">
      <c r="A49" s="342">
        <v>41948</v>
      </c>
      <c r="B49" s="347"/>
      <c r="C49" s="348"/>
      <c r="D49" s="349">
        <f t="shared" si="4"/>
        <v>0</v>
      </c>
      <c r="E49" s="244"/>
      <c r="F49" s="244"/>
      <c r="G49" s="350"/>
      <c r="H49" s="246"/>
      <c r="I49" s="246"/>
      <c r="J49" s="246"/>
      <c r="K49" s="246"/>
      <c r="L49" s="246"/>
      <c r="M49" s="246"/>
      <c r="N49" s="246"/>
      <c r="O49" s="246"/>
      <c r="P49" s="246"/>
      <c r="Q49" s="351" t="e">
        <f t="shared" si="5"/>
        <v>#DIV/0!</v>
      </c>
    </row>
    <row r="50" spans="1:17" ht="18">
      <c r="A50" s="342">
        <v>41978</v>
      </c>
      <c r="B50" s="347"/>
      <c r="C50" s="348"/>
      <c r="D50" s="349">
        <f t="shared" si="4"/>
        <v>0</v>
      </c>
      <c r="E50" s="244"/>
      <c r="F50" s="244"/>
      <c r="G50" s="350"/>
      <c r="H50" s="246"/>
      <c r="I50" s="246"/>
      <c r="J50" s="246"/>
      <c r="K50" s="246"/>
      <c r="L50" s="246"/>
      <c r="M50" s="246"/>
      <c r="N50" s="246"/>
      <c r="O50" s="246"/>
      <c r="P50" s="246"/>
      <c r="Q50" s="352"/>
    </row>
    <row r="51" spans="1:17" ht="18">
      <c r="A51" s="342">
        <v>42009</v>
      </c>
      <c r="B51" s="347"/>
      <c r="C51" s="348"/>
      <c r="D51" s="349">
        <f t="shared" si="4"/>
        <v>0</v>
      </c>
      <c r="E51" s="244"/>
      <c r="F51" s="244"/>
      <c r="G51" s="350"/>
      <c r="H51" s="246"/>
      <c r="I51" s="246"/>
      <c r="J51" s="246"/>
      <c r="K51" s="246"/>
      <c r="L51" s="246"/>
      <c r="M51" s="246"/>
      <c r="N51" s="246"/>
      <c r="O51" s="246"/>
      <c r="P51" s="246"/>
      <c r="Q51" s="352"/>
    </row>
    <row r="52" spans="1:17" ht="18">
      <c r="A52" s="342">
        <v>42040</v>
      </c>
      <c r="B52" s="347"/>
      <c r="C52" s="348"/>
      <c r="D52" s="349">
        <f t="shared" si="4"/>
        <v>0</v>
      </c>
      <c r="E52" s="244"/>
      <c r="F52" s="244"/>
      <c r="G52" s="350"/>
      <c r="H52" s="246"/>
      <c r="I52" s="246"/>
      <c r="J52" s="246"/>
      <c r="K52" s="246"/>
      <c r="L52" s="246"/>
      <c r="M52" s="246"/>
      <c r="N52" s="246"/>
      <c r="O52" s="246"/>
      <c r="P52" s="246"/>
      <c r="Q52" s="352"/>
    </row>
    <row r="53" spans="1:17" ht="18">
      <c r="A53" s="342">
        <v>42068</v>
      </c>
      <c r="B53" s="347"/>
      <c r="C53" s="348"/>
      <c r="D53" s="349">
        <f t="shared" si="4"/>
        <v>0</v>
      </c>
      <c r="E53" s="246"/>
      <c r="F53" s="246"/>
      <c r="G53" s="350"/>
      <c r="H53" s="246"/>
      <c r="I53" s="246"/>
      <c r="J53" s="246"/>
      <c r="K53" s="246"/>
      <c r="L53" s="246"/>
      <c r="M53" s="246"/>
      <c r="N53" s="246"/>
      <c r="O53" s="246"/>
      <c r="P53" s="246"/>
      <c r="Q53" s="352"/>
    </row>
    <row r="54" spans="1:17" ht="18">
      <c r="A54" s="353" t="s">
        <v>381</v>
      </c>
      <c r="B54" s="356">
        <f aca="true" t="shared" si="6" ref="B54:H54">SUM(B42:B53)</f>
        <v>-4074.589704</v>
      </c>
      <c r="C54" s="349">
        <f t="shared" si="6"/>
        <v>-4156.2622519999995</v>
      </c>
      <c r="D54" s="356">
        <f t="shared" si="6"/>
        <v>-81.67254800000006</v>
      </c>
      <c r="E54" s="356">
        <f t="shared" si="6"/>
        <v>82.12971700000001</v>
      </c>
      <c r="F54" s="356">
        <f t="shared" si="6"/>
        <v>39.237119158</v>
      </c>
      <c r="G54" s="356">
        <f t="shared" si="6"/>
        <v>0</v>
      </c>
      <c r="H54" s="356">
        <f t="shared" si="6"/>
        <v>6.3734258</v>
      </c>
      <c r="I54" s="246"/>
      <c r="J54" s="246"/>
      <c r="K54" s="246"/>
      <c r="L54" s="246"/>
      <c r="M54" s="246"/>
      <c r="N54" s="246"/>
      <c r="O54" s="246"/>
      <c r="P54" s="246"/>
      <c r="Q54" s="352"/>
    </row>
    <row r="55" spans="1:17" ht="15">
      <c r="A55" s="642" t="s">
        <v>597</v>
      </c>
      <c r="B55" s="643"/>
      <c r="C55" s="643"/>
      <c r="D55" s="643"/>
      <c r="E55" s="643"/>
      <c r="F55" s="643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</row>
    <row r="56" spans="1:17" ht="15">
      <c r="A56" s="642" t="s">
        <v>598</v>
      </c>
      <c r="B56" s="643"/>
      <c r="C56" s="643"/>
      <c r="D56" s="643"/>
      <c r="E56" s="643"/>
      <c r="F56" s="643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</row>
  </sheetData>
  <sheetProtection/>
  <mergeCells count="7">
    <mergeCell ref="A56:F56"/>
    <mergeCell ref="M7:Q7"/>
    <mergeCell ref="A22:F22"/>
    <mergeCell ref="A23:F23"/>
    <mergeCell ref="A38:F38"/>
    <mergeCell ref="A39:F39"/>
    <mergeCell ref="A55:F55"/>
  </mergeCells>
  <printOptions gridLines="1" horizontalCentered="1" verticalCentered="1"/>
  <pageMargins left="0.4" right="0.22" top="1" bottom="1" header="0.5" footer="0.5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4.421875" style="0" customWidth="1"/>
    <col min="2" max="2" width="11.28125" style="0" customWidth="1"/>
    <col min="3" max="3" width="9.57421875" style="0" customWidth="1"/>
    <col min="4" max="4" width="50.140625" style="0" customWidth="1"/>
    <col min="6" max="6" width="18.8515625" style="0" customWidth="1"/>
  </cols>
  <sheetData>
    <row r="1" spans="2:5" ht="12.75">
      <c r="B1" s="43" t="s">
        <v>58</v>
      </c>
      <c r="C1" s="44"/>
      <c r="D1" s="44"/>
      <c r="E1" s="44"/>
    </row>
    <row r="2" spans="2:5" ht="12.75">
      <c r="B2" s="43"/>
      <c r="C2" s="44"/>
      <c r="D2" s="44"/>
      <c r="E2" s="44"/>
    </row>
    <row r="3" spans="2:5" ht="12.75">
      <c r="B3" s="7" t="s">
        <v>59</v>
      </c>
      <c r="C3" s="7" t="s">
        <v>60</v>
      </c>
      <c r="D3" s="7" t="s">
        <v>61</v>
      </c>
      <c r="E3" s="3" t="s">
        <v>62</v>
      </c>
    </row>
    <row r="4" spans="1:2" ht="12.75">
      <c r="A4" s="3">
        <v>1</v>
      </c>
      <c r="B4" s="3" t="s">
        <v>63</v>
      </c>
    </row>
    <row r="5" spans="2:5" ht="12.75">
      <c r="B5" s="4" t="s">
        <v>64</v>
      </c>
      <c r="C5" s="4" t="s">
        <v>65</v>
      </c>
      <c r="D5" s="45" t="s">
        <v>66</v>
      </c>
      <c r="E5" s="46" t="s">
        <v>67</v>
      </c>
    </row>
    <row r="6" spans="2:5" ht="12.75">
      <c r="B6" s="4" t="s">
        <v>68</v>
      </c>
      <c r="C6" s="4" t="s">
        <v>69</v>
      </c>
      <c r="D6" s="45" t="s">
        <v>70</v>
      </c>
      <c r="E6" s="46" t="s">
        <v>71</v>
      </c>
    </row>
    <row r="7" spans="2:5" ht="12.75">
      <c r="B7" s="4" t="s">
        <v>72</v>
      </c>
      <c r="C7" s="4" t="s">
        <v>73</v>
      </c>
      <c r="D7" s="45" t="s">
        <v>74</v>
      </c>
      <c r="E7" s="46" t="s">
        <v>442</v>
      </c>
    </row>
    <row r="8" spans="2:5" ht="12.75">
      <c r="B8" s="4" t="s">
        <v>75</v>
      </c>
      <c r="C8" s="4" t="s">
        <v>76</v>
      </c>
      <c r="D8" s="45" t="s">
        <v>77</v>
      </c>
      <c r="E8" s="46" t="s">
        <v>443</v>
      </c>
    </row>
    <row r="9" spans="2:5" ht="12.75">
      <c r="B9" s="47" t="s">
        <v>78</v>
      </c>
      <c r="C9" s="4" t="s">
        <v>79</v>
      </c>
      <c r="D9" s="45" t="s">
        <v>80</v>
      </c>
      <c r="E9" s="46" t="s">
        <v>444</v>
      </c>
    </row>
    <row r="10" spans="2:5" ht="12.75">
      <c r="B10" s="4" t="s">
        <v>81</v>
      </c>
      <c r="C10" s="4" t="s">
        <v>82</v>
      </c>
      <c r="D10" s="45" t="s">
        <v>83</v>
      </c>
      <c r="E10" s="46" t="s">
        <v>445</v>
      </c>
    </row>
    <row r="11" spans="2:5" ht="12.75">
      <c r="B11" s="4" t="s">
        <v>84</v>
      </c>
      <c r="C11" s="4" t="s">
        <v>85</v>
      </c>
      <c r="D11" s="45" t="s">
        <v>86</v>
      </c>
      <c r="E11" s="48" t="s">
        <v>446</v>
      </c>
    </row>
    <row r="12" spans="2:5" ht="12.75">
      <c r="B12" s="4" t="s">
        <v>87</v>
      </c>
      <c r="C12" s="4" t="s">
        <v>88</v>
      </c>
      <c r="D12" s="6" t="s">
        <v>89</v>
      </c>
      <c r="E12" s="46" t="s">
        <v>447</v>
      </c>
    </row>
    <row r="13" spans="2:5" ht="12.75">
      <c r="B13" s="4" t="s">
        <v>90</v>
      </c>
      <c r="C13" s="4" t="s">
        <v>91</v>
      </c>
      <c r="D13" s="45" t="s">
        <v>92</v>
      </c>
      <c r="E13" s="46" t="s">
        <v>93</v>
      </c>
    </row>
    <row r="14" spans="2:5" ht="12.75">
      <c r="B14" s="4" t="s">
        <v>94</v>
      </c>
      <c r="C14" s="4" t="s">
        <v>95</v>
      </c>
      <c r="D14" s="45" t="s">
        <v>96</v>
      </c>
      <c r="E14" s="46" t="s">
        <v>97</v>
      </c>
    </row>
    <row r="15" spans="2:5" ht="12.75">
      <c r="B15" s="4" t="s">
        <v>98</v>
      </c>
      <c r="C15" s="4" t="s">
        <v>99</v>
      </c>
      <c r="D15" s="45" t="s">
        <v>100</v>
      </c>
      <c r="E15" s="46" t="s">
        <v>101</v>
      </c>
    </row>
    <row r="16" spans="2:5" ht="12.75">
      <c r="B16" s="4" t="s">
        <v>102</v>
      </c>
      <c r="C16" s="4" t="s">
        <v>103</v>
      </c>
      <c r="D16" s="45" t="s">
        <v>104</v>
      </c>
      <c r="E16" s="46" t="s">
        <v>105</v>
      </c>
    </row>
    <row r="17" spans="2:5" ht="12.75">
      <c r="B17" s="4" t="s">
        <v>106</v>
      </c>
      <c r="C17" s="4" t="s">
        <v>107</v>
      </c>
      <c r="D17" s="45" t="s">
        <v>108</v>
      </c>
      <c r="E17" s="46" t="s">
        <v>109</v>
      </c>
    </row>
    <row r="18" spans="2:5" ht="12.75">
      <c r="B18" s="4" t="s">
        <v>110</v>
      </c>
      <c r="C18" s="4" t="s">
        <v>111</v>
      </c>
      <c r="D18" s="45" t="s">
        <v>112</v>
      </c>
      <c r="E18" s="46" t="s">
        <v>113</v>
      </c>
    </row>
    <row r="19" spans="2:5" ht="12.75">
      <c r="B19" s="4" t="s">
        <v>114</v>
      </c>
      <c r="C19" s="4" t="s">
        <v>115</v>
      </c>
      <c r="D19" s="45" t="s">
        <v>116</v>
      </c>
      <c r="E19" s="46" t="s">
        <v>117</v>
      </c>
    </row>
    <row r="20" spans="2:5" ht="12.75">
      <c r="B20" s="4" t="s">
        <v>118</v>
      </c>
      <c r="C20" s="4" t="s">
        <v>119</v>
      </c>
      <c r="D20" s="49" t="s">
        <v>120</v>
      </c>
      <c r="E20" s="46" t="s">
        <v>121</v>
      </c>
    </row>
    <row r="21" spans="2:5" ht="25.5">
      <c r="B21" s="47" t="s">
        <v>122</v>
      </c>
      <c r="C21" s="47" t="s">
        <v>123</v>
      </c>
      <c r="D21" s="50" t="s">
        <v>124</v>
      </c>
      <c r="E21" s="46" t="s">
        <v>125</v>
      </c>
    </row>
    <row r="22" spans="2:5" ht="12.75">
      <c r="B22" s="4" t="s">
        <v>126</v>
      </c>
      <c r="C22" s="4" t="s">
        <v>127</v>
      </c>
      <c r="D22" s="45" t="s">
        <v>128</v>
      </c>
      <c r="E22" s="46" t="s">
        <v>129</v>
      </c>
    </row>
    <row r="23" spans="2:5" ht="12.75">
      <c r="B23" s="4" t="s">
        <v>130</v>
      </c>
      <c r="C23" s="4" t="s">
        <v>131</v>
      </c>
      <c r="D23" s="45" t="s">
        <v>132</v>
      </c>
      <c r="E23" s="46" t="s">
        <v>133</v>
      </c>
    </row>
    <row r="24" spans="2:5" ht="12.75">
      <c r="B24" s="4" t="s">
        <v>134</v>
      </c>
      <c r="C24" s="4" t="s">
        <v>135</v>
      </c>
      <c r="D24" s="6" t="s">
        <v>136</v>
      </c>
      <c r="E24" s="46" t="s">
        <v>137</v>
      </c>
    </row>
    <row r="25" spans="2:5" ht="12.75">
      <c r="B25" s="4" t="s">
        <v>138</v>
      </c>
      <c r="C25" s="4" t="s">
        <v>139</v>
      </c>
      <c r="D25" s="6" t="s">
        <v>140</v>
      </c>
      <c r="E25" s="46" t="s">
        <v>141</v>
      </c>
    </row>
    <row r="26" spans="2:13" ht="12.75">
      <c r="B26" s="4" t="s">
        <v>142</v>
      </c>
      <c r="C26" s="4" t="s">
        <v>143</v>
      </c>
      <c r="D26" s="2" t="s">
        <v>144</v>
      </c>
      <c r="E26" s="51" t="s">
        <v>145</v>
      </c>
      <c r="F26" s="49"/>
      <c r="G26" s="49"/>
      <c r="H26" s="49"/>
      <c r="I26" s="49"/>
      <c r="J26" s="49"/>
      <c r="K26" s="49"/>
      <c r="L26" s="49"/>
      <c r="M26" s="49"/>
    </row>
    <row r="27" spans="2:5" ht="12.75">
      <c r="B27" s="4" t="s">
        <v>146</v>
      </c>
      <c r="C27" s="4" t="s">
        <v>147</v>
      </c>
      <c r="D27" s="45" t="s">
        <v>148</v>
      </c>
      <c r="E27" s="46" t="s">
        <v>149</v>
      </c>
    </row>
    <row r="28" spans="2:5" ht="12.75">
      <c r="B28" s="4" t="s">
        <v>150</v>
      </c>
      <c r="C28" s="4" t="s">
        <v>151</v>
      </c>
      <c r="D28" s="2" t="s">
        <v>152</v>
      </c>
      <c r="E28" s="46" t="s">
        <v>153</v>
      </c>
    </row>
    <row r="29" spans="1:5" ht="12.75">
      <c r="A29" s="3">
        <v>2</v>
      </c>
      <c r="B29" s="52" t="s">
        <v>154</v>
      </c>
      <c r="C29" s="4"/>
      <c r="E29" s="46"/>
    </row>
    <row r="30" spans="2:5" ht="12.75">
      <c r="B30" s="4" t="s">
        <v>155</v>
      </c>
      <c r="C30" s="4" t="s">
        <v>156</v>
      </c>
      <c r="D30" s="53" t="s">
        <v>157</v>
      </c>
      <c r="E30" s="46" t="s">
        <v>158</v>
      </c>
    </row>
    <row r="31" spans="2:5" ht="12.75">
      <c r="B31" s="4" t="s">
        <v>159</v>
      </c>
      <c r="C31" s="4" t="s">
        <v>160</v>
      </c>
      <c r="D31" t="s">
        <v>161</v>
      </c>
      <c r="E31" s="46" t="s">
        <v>162</v>
      </c>
    </row>
    <row r="32" spans="2:5" ht="12.75">
      <c r="B32" s="4" t="s">
        <v>163</v>
      </c>
      <c r="C32" s="4" t="s">
        <v>164</v>
      </c>
      <c r="D32" t="s">
        <v>165</v>
      </c>
      <c r="E32" s="46" t="s">
        <v>166</v>
      </c>
    </row>
    <row r="33" spans="2:5" ht="12.75">
      <c r="B33" s="47" t="s">
        <v>167</v>
      </c>
      <c r="C33" s="4" t="s">
        <v>168</v>
      </c>
      <c r="D33" s="5" t="s">
        <v>169</v>
      </c>
      <c r="E33" s="46" t="s">
        <v>170</v>
      </c>
    </row>
    <row r="34" spans="2:5" ht="12.75">
      <c r="B34" s="47" t="s">
        <v>171</v>
      </c>
      <c r="C34" s="4" t="s">
        <v>172</v>
      </c>
      <c r="D34" s="5" t="s">
        <v>173</v>
      </c>
      <c r="E34" s="46" t="s">
        <v>174</v>
      </c>
    </row>
    <row r="35" spans="2:5" ht="12.75">
      <c r="B35" s="4" t="s">
        <v>175</v>
      </c>
      <c r="C35" s="4" t="s">
        <v>176</v>
      </c>
      <c r="D35" t="s">
        <v>177</v>
      </c>
      <c r="E35" s="46" t="s">
        <v>178</v>
      </c>
    </row>
    <row r="36" spans="2:5" ht="25.5">
      <c r="B36" s="47" t="s">
        <v>179</v>
      </c>
      <c r="C36" s="47" t="s">
        <v>180</v>
      </c>
      <c r="D36" s="5" t="s">
        <v>181</v>
      </c>
      <c r="E36" s="54" t="s">
        <v>182</v>
      </c>
    </row>
    <row r="37" spans="2:5" ht="25.5">
      <c r="B37" s="47" t="s">
        <v>183</v>
      </c>
      <c r="C37" s="47" t="s">
        <v>184</v>
      </c>
      <c r="D37" s="55" t="s">
        <v>185</v>
      </c>
      <c r="E37" s="46" t="s">
        <v>186</v>
      </c>
    </row>
    <row r="38" spans="2:5" ht="25.5">
      <c r="B38" s="47" t="s">
        <v>187</v>
      </c>
      <c r="C38" s="47" t="s">
        <v>188</v>
      </c>
      <c r="D38" s="5" t="s">
        <v>189</v>
      </c>
      <c r="E38" s="46" t="s">
        <v>190</v>
      </c>
    </row>
    <row r="39" spans="2:5" ht="12.75">
      <c r="B39" s="47" t="s">
        <v>191</v>
      </c>
      <c r="C39" s="47" t="s">
        <v>192</v>
      </c>
      <c r="D39" t="s">
        <v>193</v>
      </c>
      <c r="E39" s="46" t="s">
        <v>194</v>
      </c>
    </row>
    <row r="40" spans="2:5" ht="12.75">
      <c r="B40" s="47" t="s">
        <v>195</v>
      </c>
      <c r="C40" s="4" t="s">
        <v>196</v>
      </c>
      <c r="D40" t="s">
        <v>197</v>
      </c>
      <c r="E40" s="46" t="s">
        <v>198</v>
      </c>
    </row>
    <row r="41" spans="2:5" ht="12.75">
      <c r="B41" s="4" t="s">
        <v>199</v>
      </c>
      <c r="C41" s="4" t="s">
        <v>200</v>
      </c>
      <c r="D41" t="s">
        <v>201</v>
      </c>
      <c r="E41" s="46" t="s">
        <v>202</v>
      </c>
    </row>
    <row r="42" spans="2:5" ht="12.75">
      <c r="B42" s="4" t="s">
        <v>203</v>
      </c>
      <c r="C42" s="4" t="s">
        <v>204</v>
      </c>
      <c r="D42" t="s">
        <v>205</v>
      </c>
      <c r="E42" s="46" t="s">
        <v>206</v>
      </c>
    </row>
    <row r="43" spans="2:5" ht="12.75">
      <c r="B43" s="47" t="s">
        <v>207</v>
      </c>
      <c r="C43" s="4" t="s">
        <v>208</v>
      </c>
      <c r="D43" t="s">
        <v>209</v>
      </c>
      <c r="E43" s="46" t="s">
        <v>210</v>
      </c>
    </row>
    <row r="44" spans="2:5" ht="12.75">
      <c r="B44" s="47" t="s">
        <v>211</v>
      </c>
      <c r="C44" s="4" t="s">
        <v>212</v>
      </c>
      <c r="D44" t="s">
        <v>213</v>
      </c>
      <c r="E44" s="46" t="s">
        <v>214</v>
      </c>
    </row>
    <row r="45" spans="2:5" ht="12.75">
      <c r="B45" s="47" t="s">
        <v>215</v>
      </c>
      <c r="C45" s="4" t="s">
        <v>216</v>
      </c>
      <c r="D45" t="s">
        <v>217</v>
      </c>
      <c r="E45" s="46" t="s">
        <v>218</v>
      </c>
    </row>
    <row r="46" spans="2:5" ht="12.75">
      <c r="B46" s="47" t="s">
        <v>219</v>
      </c>
      <c r="C46" s="4" t="s">
        <v>220</v>
      </c>
      <c r="D46" t="s">
        <v>221</v>
      </c>
      <c r="E46" s="46" t="s">
        <v>222</v>
      </c>
    </row>
    <row r="47" spans="2:5" ht="25.5">
      <c r="B47" s="47" t="s">
        <v>223</v>
      </c>
      <c r="C47" s="47" t="s">
        <v>224</v>
      </c>
      <c r="D47" s="5" t="s">
        <v>225</v>
      </c>
      <c r="E47" s="46" t="s">
        <v>226</v>
      </c>
    </row>
    <row r="48" spans="2:5" ht="12.75">
      <c r="B48" s="4" t="s">
        <v>227</v>
      </c>
      <c r="C48" s="47" t="s">
        <v>228</v>
      </c>
      <c r="D48" t="s">
        <v>229</v>
      </c>
      <c r="E48" s="46" t="s">
        <v>230</v>
      </c>
    </row>
    <row r="49" spans="2:5" ht="25.5">
      <c r="B49" s="47" t="s">
        <v>231</v>
      </c>
      <c r="C49" s="47" t="s">
        <v>232</v>
      </c>
      <c r="D49" s="5" t="s">
        <v>233</v>
      </c>
      <c r="E49" s="46" t="s">
        <v>234</v>
      </c>
    </row>
    <row r="50" spans="2:5" ht="12.75">
      <c r="B50" s="4" t="s">
        <v>235</v>
      </c>
      <c r="C50" s="4" t="s">
        <v>236</v>
      </c>
      <c r="D50" t="s">
        <v>237</v>
      </c>
      <c r="E50" s="46" t="s">
        <v>238</v>
      </c>
    </row>
    <row r="51" spans="2:5" ht="12.75">
      <c r="B51" s="4" t="s">
        <v>239</v>
      </c>
      <c r="C51" s="4" t="s">
        <v>240</v>
      </c>
      <c r="D51" t="s">
        <v>241</v>
      </c>
      <c r="E51" s="46" t="s">
        <v>242</v>
      </c>
    </row>
    <row r="52" spans="2:5" ht="12.75">
      <c r="B52" s="4" t="s">
        <v>243</v>
      </c>
      <c r="C52" s="4" t="s">
        <v>244</v>
      </c>
      <c r="D52" t="s">
        <v>245</v>
      </c>
      <c r="E52" s="46" t="s">
        <v>246</v>
      </c>
    </row>
    <row r="53" spans="2:5" ht="12.75">
      <c r="B53" s="4" t="s">
        <v>247</v>
      </c>
      <c r="C53" s="4" t="s">
        <v>248</v>
      </c>
      <c r="D53" t="s">
        <v>249</v>
      </c>
      <c r="E53" s="46" t="s">
        <v>250</v>
      </c>
    </row>
    <row r="54" spans="2:5" ht="12.75">
      <c r="B54" s="4" t="s">
        <v>251</v>
      </c>
      <c r="C54" s="4" t="s">
        <v>252</v>
      </c>
      <c r="D54" t="s">
        <v>253</v>
      </c>
      <c r="E54" s="46" t="s">
        <v>254</v>
      </c>
    </row>
    <row r="55" spans="2:5" ht="12.75">
      <c r="B55" s="4" t="s">
        <v>255</v>
      </c>
      <c r="C55" s="4" t="s">
        <v>256</v>
      </c>
      <c r="D55" t="s">
        <v>257</v>
      </c>
      <c r="E55" s="46" t="s">
        <v>258</v>
      </c>
    </row>
    <row r="56" spans="2:5" ht="12.75">
      <c r="B56" s="4" t="s">
        <v>259</v>
      </c>
      <c r="C56" s="4" t="s">
        <v>260</v>
      </c>
      <c r="D56" t="s">
        <v>261</v>
      </c>
      <c r="E56" s="46" t="s">
        <v>262</v>
      </c>
    </row>
    <row r="57" spans="1:5" ht="12.75">
      <c r="A57" s="3">
        <v>3</v>
      </c>
      <c r="B57" s="52" t="s">
        <v>263</v>
      </c>
      <c r="C57" s="4"/>
      <c r="E57" s="8"/>
    </row>
    <row r="58" spans="2:5" ht="12.75">
      <c r="B58" s="4" t="s">
        <v>264</v>
      </c>
      <c r="C58" s="4" t="s">
        <v>265</v>
      </c>
      <c r="D58" t="s">
        <v>266</v>
      </c>
      <c r="E58" s="46" t="s">
        <v>267</v>
      </c>
    </row>
    <row r="59" spans="2:5" ht="12.75">
      <c r="B59" s="4" t="s">
        <v>268</v>
      </c>
      <c r="C59" s="4" t="s">
        <v>269</v>
      </c>
      <c r="D59" t="s">
        <v>270</v>
      </c>
      <c r="E59" s="46" t="s">
        <v>271</v>
      </c>
    </row>
    <row r="60" spans="2:5" ht="12.75">
      <c r="B60" s="4" t="s">
        <v>272</v>
      </c>
      <c r="C60" s="4" t="s">
        <v>273</v>
      </c>
      <c r="D60" s="1" t="s">
        <v>274</v>
      </c>
      <c r="E60" s="46" t="s">
        <v>275</v>
      </c>
    </row>
    <row r="61" spans="2:5" ht="12.75">
      <c r="B61" s="4" t="s">
        <v>276</v>
      </c>
      <c r="C61" s="4" t="s">
        <v>277</v>
      </c>
      <c r="D61" t="s">
        <v>278</v>
      </c>
      <c r="E61" s="46" t="s">
        <v>279</v>
      </c>
    </row>
    <row r="62" spans="2:5" ht="12.75">
      <c r="B62" s="4" t="s">
        <v>280</v>
      </c>
      <c r="C62" s="4" t="s">
        <v>281</v>
      </c>
      <c r="D62" t="s">
        <v>282</v>
      </c>
      <c r="E62" s="46" t="s">
        <v>283</v>
      </c>
    </row>
    <row r="63" spans="2:5" ht="12.75">
      <c r="B63" s="4" t="s">
        <v>284</v>
      </c>
      <c r="C63" s="4" t="s">
        <v>285</v>
      </c>
      <c r="D63" t="s">
        <v>286</v>
      </c>
      <c r="E63" s="46" t="s">
        <v>287</v>
      </c>
    </row>
    <row r="64" spans="2:5" ht="12.75">
      <c r="B64" s="4" t="s">
        <v>288</v>
      </c>
      <c r="C64" s="4" t="s">
        <v>289</v>
      </c>
      <c r="D64" t="s">
        <v>290</v>
      </c>
      <c r="E64" s="46" t="s">
        <v>291</v>
      </c>
    </row>
    <row r="65" spans="2:5" ht="12.75">
      <c r="B65" s="4" t="s">
        <v>292</v>
      </c>
      <c r="C65" s="4" t="s">
        <v>293</v>
      </c>
      <c r="D65" s="10" t="s">
        <v>294</v>
      </c>
      <c r="E65" s="46" t="s">
        <v>295</v>
      </c>
    </row>
    <row r="66" spans="1:5" ht="12.75">
      <c r="A66">
        <v>4</v>
      </c>
      <c r="B66" s="56" t="s">
        <v>296</v>
      </c>
      <c r="C66" s="4"/>
      <c r="D66" s="10"/>
      <c r="E66" s="46"/>
    </row>
    <row r="67" spans="2:5" ht="12.75">
      <c r="B67" s="4" t="s">
        <v>297</v>
      </c>
      <c r="C67" s="4" t="s">
        <v>298</v>
      </c>
      <c r="D67" s="6" t="s">
        <v>299</v>
      </c>
      <c r="E67" s="46" t="s">
        <v>300</v>
      </c>
    </row>
    <row r="68" spans="2:5" ht="12.75">
      <c r="B68" s="4" t="s">
        <v>301</v>
      </c>
      <c r="C68" s="47" t="s">
        <v>302</v>
      </c>
      <c r="D68" s="57" t="s">
        <v>303</v>
      </c>
      <c r="E68" s="46" t="s">
        <v>304</v>
      </c>
    </row>
    <row r="69" spans="2:5" ht="12.75">
      <c r="B69" s="4" t="s">
        <v>305</v>
      </c>
      <c r="C69" s="4" t="s">
        <v>306</v>
      </c>
      <c r="D69" s="57" t="s">
        <v>307</v>
      </c>
      <c r="E69" s="46" t="s">
        <v>308</v>
      </c>
    </row>
    <row r="70" spans="2:5" ht="12.75">
      <c r="B70" s="4" t="s">
        <v>309</v>
      </c>
      <c r="C70" s="47" t="s">
        <v>310</v>
      </c>
      <c r="D70" s="6" t="s">
        <v>311</v>
      </c>
      <c r="E70" s="46" t="s">
        <v>312</v>
      </c>
    </row>
    <row r="71" spans="2:5" ht="12.75">
      <c r="B71" s="4" t="s">
        <v>313</v>
      </c>
      <c r="C71" s="4" t="s">
        <v>314</v>
      </c>
      <c r="D71" s="6" t="s">
        <v>315</v>
      </c>
      <c r="E71" s="46" t="s">
        <v>316</v>
      </c>
    </row>
    <row r="72" spans="2:5" ht="12.75">
      <c r="B72" s="4" t="s">
        <v>317</v>
      </c>
      <c r="C72" s="47" t="s">
        <v>318</v>
      </c>
      <c r="D72" s="6" t="s">
        <v>319</v>
      </c>
      <c r="E72" s="46" t="s">
        <v>320</v>
      </c>
    </row>
    <row r="73" spans="1:5" ht="12.75">
      <c r="A73" s="3"/>
      <c r="B73" s="4" t="s">
        <v>321</v>
      </c>
      <c r="C73" s="4" t="s">
        <v>322</v>
      </c>
      <c r="D73" s="6" t="s">
        <v>323</v>
      </c>
      <c r="E73" s="46" t="s">
        <v>324</v>
      </c>
    </row>
    <row r="74" spans="2:5" ht="12.75">
      <c r="B74" s="4" t="s">
        <v>325</v>
      </c>
      <c r="C74" s="47" t="s">
        <v>326</v>
      </c>
      <c r="D74" s="57" t="s">
        <v>327</v>
      </c>
      <c r="E74" s="46" t="s">
        <v>328</v>
      </c>
    </row>
    <row r="75" spans="2:5" ht="12.75">
      <c r="B75" s="4" t="s">
        <v>329</v>
      </c>
      <c r="C75" s="4" t="s">
        <v>330</v>
      </c>
      <c r="D75" s="57" t="s">
        <v>331</v>
      </c>
      <c r="E75" s="46" t="s">
        <v>332</v>
      </c>
    </row>
    <row r="76" spans="2:3" ht="12.75">
      <c r="B76" s="4"/>
      <c r="C76" s="4"/>
    </row>
    <row r="77" spans="2:3" ht="12.75">
      <c r="B77" s="4"/>
      <c r="C77" s="4"/>
    </row>
    <row r="78" spans="2:3" ht="12.75">
      <c r="B78" s="4"/>
      <c r="C78" s="4"/>
    </row>
    <row r="79" spans="2:3" ht="12.75">
      <c r="B79" s="4"/>
      <c r="C79" s="4"/>
    </row>
    <row r="80" spans="2:3" ht="12.75">
      <c r="B80" s="4"/>
      <c r="C80" s="4"/>
    </row>
    <row r="81" spans="2:3" ht="12.75">
      <c r="B81" s="4"/>
      <c r="C81" s="4"/>
    </row>
    <row r="82" spans="2:3" ht="12.75">
      <c r="B82" s="4"/>
      <c r="C82" s="4"/>
    </row>
    <row r="83" spans="2:3" ht="12.75">
      <c r="B83" s="4"/>
      <c r="C83" s="4"/>
    </row>
    <row r="84" spans="2:3" ht="12.75">
      <c r="B84" s="4"/>
      <c r="C84" s="4"/>
    </row>
    <row r="85" spans="2:3" ht="12.75">
      <c r="B85" s="4"/>
      <c r="C85" s="4"/>
    </row>
    <row r="86" spans="2:3" ht="12.75">
      <c r="B86" s="4"/>
      <c r="C86" s="4"/>
    </row>
    <row r="87" spans="2:3" ht="12.75">
      <c r="B87" s="4"/>
      <c r="C87" s="4"/>
    </row>
    <row r="88" spans="2:3" ht="12.75">
      <c r="B88" s="4"/>
      <c r="C88" s="4"/>
    </row>
    <row r="89" spans="2:3" ht="12.75">
      <c r="B89" s="4"/>
      <c r="C89" s="4"/>
    </row>
    <row r="90" spans="2:3" ht="12.75">
      <c r="B90" s="4"/>
      <c r="C90" s="4"/>
    </row>
    <row r="91" spans="2:3" ht="12.75">
      <c r="B91" s="4"/>
      <c r="C91" s="4"/>
    </row>
    <row r="92" spans="2:3" ht="12.75">
      <c r="B92" s="4"/>
      <c r="C92" s="4"/>
    </row>
    <row r="93" spans="2:3" ht="12.75">
      <c r="B93" s="4"/>
      <c r="C93" s="4"/>
    </row>
    <row r="94" spans="2:3" ht="12.75">
      <c r="B94" s="4"/>
      <c r="C94" s="4"/>
    </row>
    <row r="95" spans="2:3" ht="12.75">
      <c r="B95" s="4"/>
      <c r="C95" s="4"/>
    </row>
  </sheetData>
  <sheetProtection/>
  <printOptions gridLines="1"/>
  <pageMargins left="0.35" right="0.17" top="0.49" bottom="0.37" header="0.42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X674"/>
  <sheetViews>
    <sheetView tabSelected="1" view="pageBreakPreview" zoomScale="60" zoomScaleNormal="70" zoomScalePageLayoutView="0" workbookViewId="0" topLeftCell="B532">
      <selection activeCell="F557" sqref="F557"/>
    </sheetView>
  </sheetViews>
  <sheetFormatPr defaultColWidth="9.140625" defaultRowHeight="12.75"/>
  <cols>
    <col min="1" max="1" width="5.140625" style="22" customWidth="1"/>
    <col min="2" max="2" width="32.57421875" style="33" customWidth="1"/>
    <col min="3" max="3" width="15.57421875" style="63" customWidth="1"/>
    <col min="4" max="4" width="16.7109375" style="25" customWidth="1"/>
    <col min="5" max="5" width="11.00390625" style="25" customWidth="1"/>
    <col min="6" max="9" width="14.7109375" style="25" customWidth="1"/>
    <col min="10" max="10" width="16.140625" style="25" customWidth="1"/>
    <col min="11" max="11" width="20.421875" style="25" customWidth="1"/>
    <col min="12" max="12" width="17.28125" style="25" customWidth="1"/>
    <col min="13" max="13" width="16.8515625" style="25" customWidth="1"/>
    <col min="14" max="14" width="18.28125" style="25" customWidth="1"/>
    <col min="15" max="15" width="14.7109375" style="25" customWidth="1"/>
    <col min="16" max="16" width="17.140625" style="25" customWidth="1"/>
    <col min="17" max="17" width="14.7109375" style="25" customWidth="1"/>
    <col min="18" max="18" width="16.421875" style="41" customWidth="1"/>
    <col min="19" max="20" width="14.7109375" style="25" customWidth="1"/>
    <col min="21" max="21" width="9.7109375" style="25" customWidth="1"/>
    <col min="22" max="22" width="9.7109375" style="25" bestFit="1" customWidth="1"/>
    <col min="23" max="23" width="10.00390625" style="25" bestFit="1" customWidth="1"/>
    <col min="24" max="16384" width="9.140625" style="25" customWidth="1"/>
  </cols>
  <sheetData>
    <row r="1" spans="2:17" ht="26.25" customHeight="1">
      <c r="B1" s="23" t="s">
        <v>6</v>
      </c>
      <c r="C1" s="142"/>
      <c r="D1" s="24"/>
      <c r="P1" s="26" t="s">
        <v>366</v>
      </c>
      <c r="Q1" s="27" t="s">
        <v>469</v>
      </c>
    </row>
    <row r="2" spans="2:4" ht="15.75">
      <c r="B2" s="28" t="s">
        <v>7</v>
      </c>
      <c r="C2" s="143"/>
      <c r="D2" s="29"/>
    </row>
    <row r="3" spans="2:4" ht="15.75">
      <c r="B3" s="28"/>
      <c r="C3" s="143"/>
      <c r="D3" s="29"/>
    </row>
    <row r="4" spans="2:6" ht="12.75">
      <c r="B4" s="30" t="s">
        <v>382</v>
      </c>
      <c r="C4" s="144"/>
      <c r="D4" s="31"/>
      <c r="E4" s="25">
        <v>1</v>
      </c>
      <c r="F4" s="32" t="s">
        <v>436</v>
      </c>
    </row>
    <row r="5" spans="2:6" ht="12.75">
      <c r="B5" s="30"/>
      <c r="C5" s="144"/>
      <c r="D5" s="31"/>
      <c r="E5" s="25">
        <v>2</v>
      </c>
      <c r="F5" s="32" t="s">
        <v>437</v>
      </c>
    </row>
    <row r="6" spans="2:6" ht="12.75">
      <c r="B6" s="30"/>
      <c r="C6" s="144"/>
      <c r="D6" s="31"/>
      <c r="E6" s="25">
        <v>3</v>
      </c>
      <c r="F6" s="32" t="s">
        <v>438</v>
      </c>
    </row>
    <row r="7" spans="2:6" ht="12.75">
      <c r="B7" s="30"/>
      <c r="C7" s="144"/>
      <c r="D7" s="31"/>
      <c r="E7" s="25">
        <v>4</v>
      </c>
      <c r="F7" s="32" t="s">
        <v>8</v>
      </c>
    </row>
    <row r="9" spans="1:20" s="35" customFormat="1" ht="72" customHeight="1">
      <c r="A9" s="34" t="s">
        <v>383</v>
      </c>
      <c r="B9" s="108" t="s">
        <v>431</v>
      </c>
      <c r="C9" s="107" t="s">
        <v>9</v>
      </c>
      <c r="D9" s="136" t="s">
        <v>10</v>
      </c>
      <c r="E9" s="107" t="s">
        <v>11</v>
      </c>
      <c r="F9" s="107" t="s">
        <v>408</v>
      </c>
      <c r="G9" s="107" t="s">
        <v>409</v>
      </c>
      <c r="H9" s="107" t="s">
        <v>410</v>
      </c>
      <c r="I9" s="107" t="s">
        <v>411</v>
      </c>
      <c r="J9" s="107" t="s">
        <v>412</v>
      </c>
      <c r="K9" s="107" t="s">
        <v>413</v>
      </c>
      <c r="L9" s="107" t="s">
        <v>414</v>
      </c>
      <c r="M9" s="107" t="s">
        <v>415</v>
      </c>
      <c r="N9" s="107" t="s">
        <v>416</v>
      </c>
      <c r="O9" s="107" t="s">
        <v>417</v>
      </c>
      <c r="P9" s="107" t="s">
        <v>418</v>
      </c>
      <c r="Q9" s="107" t="s">
        <v>419</v>
      </c>
      <c r="R9" s="107" t="s">
        <v>381</v>
      </c>
      <c r="S9" s="108" t="s">
        <v>402</v>
      </c>
      <c r="T9" s="107" t="s">
        <v>403</v>
      </c>
    </row>
    <row r="10" spans="1:24" ht="47.25" customHeight="1">
      <c r="A10" s="36"/>
      <c r="B10" s="37" t="s">
        <v>12</v>
      </c>
      <c r="D10" s="137"/>
      <c r="E10" s="109" t="s">
        <v>565</v>
      </c>
      <c r="F10" s="121">
        <v>30</v>
      </c>
      <c r="G10" s="121">
        <v>31</v>
      </c>
      <c r="H10" s="121">
        <v>30</v>
      </c>
      <c r="I10" s="121">
        <v>31</v>
      </c>
      <c r="J10" s="121">
        <v>31</v>
      </c>
      <c r="K10" s="121">
        <v>30</v>
      </c>
      <c r="L10" s="121">
        <v>31</v>
      </c>
      <c r="M10" s="121">
        <v>30</v>
      </c>
      <c r="N10" s="121">
        <v>31</v>
      </c>
      <c r="O10" s="121">
        <v>31</v>
      </c>
      <c r="P10" s="121">
        <v>28</v>
      </c>
      <c r="Q10" s="121">
        <v>31</v>
      </c>
      <c r="R10" s="168">
        <f>SUM(F10:Q10)</f>
        <v>365</v>
      </c>
      <c r="T10" s="9"/>
      <c r="U10" s="40"/>
      <c r="V10" s="40"/>
      <c r="W10" s="40"/>
      <c r="X10" s="40"/>
    </row>
    <row r="11" spans="1:24" ht="35.25" customHeight="1">
      <c r="A11" s="36"/>
      <c r="B11" s="108" t="s">
        <v>13</v>
      </c>
      <c r="D11" s="137"/>
      <c r="E11" s="63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13"/>
      <c r="T11" s="9"/>
      <c r="U11" s="40"/>
      <c r="V11" s="40"/>
      <c r="W11" s="40"/>
      <c r="X11" s="40"/>
    </row>
    <row r="12" spans="1:24" ht="33" customHeight="1">
      <c r="A12" s="36">
        <v>1</v>
      </c>
      <c r="B12" s="108" t="s">
        <v>14</v>
      </c>
      <c r="D12" s="136" t="s">
        <v>562</v>
      </c>
      <c r="E12" s="110" t="s">
        <v>367</v>
      </c>
      <c r="F12" s="154">
        <v>38.677</v>
      </c>
      <c r="G12" s="154">
        <v>32.748</v>
      </c>
      <c r="H12" s="154">
        <v>24.55</v>
      </c>
      <c r="I12" s="154">
        <v>57.613</v>
      </c>
      <c r="J12" s="154">
        <v>110.008</v>
      </c>
      <c r="K12" s="154">
        <v>118.261</v>
      </c>
      <c r="L12" s="156">
        <v>123.541</v>
      </c>
      <c r="M12" s="156">
        <v>67.665</v>
      </c>
      <c r="N12" s="156">
        <v>34.632</v>
      </c>
      <c r="O12" s="156">
        <v>11.927</v>
      </c>
      <c r="P12" s="156">
        <v>21.059</v>
      </c>
      <c r="Q12" s="156">
        <v>28.677</v>
      </c>
      <c r="R12" s="145">
        <f>SUM(F12:Q12)</f>
        <v>669.358</v>
      </c>
      <c r="S12" s="161">
        <f>R12/12</f>
        <v>55.77983333333333</v>
      </c>
      <c r="T12" s="145">
        <f>MAX(F12:Q12)</f>
        <v>123.541</v>
      </c>
      <c r="U12" s="40"/>
      <c r="V12" s="40"/>
      <c r="W12" s="40"/>
      <c r="X12" s="40"/>
    </row>
    <row r="13" spans="1:24" ht="15.75">
      <c r="A13" s="36"/>
      <c r="B13" s="108"/>
      <c r="D13" s="136" t="s">
        <v>563</v>
      </c>
      <c r="E13" s="109"/>
      <c r="F13" s="154">
        <v>38.46284</v>
      </c>
      <c r="G13" s="154">
        <v>35.806924</v>
      </c>
      <c r="H13" s="154">
        <v>34.921464</v>
      </c>
      <c r="I13" s="154">
        <v>36.293694</v>
      </c>
      <c r="J13" s="154">
        <v>78.350316</v>
      </c>
      <c r="K13" s="154">
        <v>84.515939</v>
      </c>
      <c r="L13" s="154">
        <f>81*0.99</f>
        <v>80.19</v>
      </c>
      <c r="M13" s="154">
        <f>58*0.99</f>
        <v>57.42</v>
      </c>
      <c r="N13" s="154">
        <f>30*0.99</f>
        <v>29.7</v>
      </c>
      <c r="O13" s="154">
        <f>30*0.99</f>
        <v>29.7</v>
      </c>
      <c r="P13" s="154">
        <f>27*0.99</f>
        <v>26.73</v>
      </c>
      <c r="Q13" s="154">
        <f>30*0.99</f>
        <v>29.7</v>
      </c>
      <c r="R13" s="149">
        <f>SUM(F13:Q13)</f>
        <v>561.7911770000001</v>
      </c>
      <c r="S13" s="173">
        <f>R13/12</f>
        <v>46.81593141666667</v>
      </c>
      <c r="T13" s="149">
        <f>MAX(F13:Q13)</f>
        <v>84.515939</v>
      </c>
      <c r="U13" s="40"/>
      <c r="V13" s="40"/>
      <c r="W13" s="40"/>
      <c r="X13" s="40"/>
    </row>
    <row r="14" spans="1:24" ht="15.75">
      <c r="A14" s="36"/>
      <c r="B14" s="108"/>
      <c r="D14" s="136" t="s">
        <v>685</v>
      </c>
      <c r="F14" s="154">
        <f>58*0.99</f>
        <v>57.42</v>
      </c>
      <c r="G14" s="154">
        <f>36*0.99</f>
        <v>35.64</v>
      </c>
      <c r="H14" s="154">
        <f>27*0.99</f>
        <v>26.73</v>
      </c>
      <c r="I14" s="154">
        <f>95*0.99</f>
        <v>94.05</v>
      </c>
      <c r="J14" s="154">
        <f>107*0.99</f>
        <v>105.92999999999999</v>
      </c>
      <c r="K14" s="154">
        <f>106*0.99</f>
        <v>104.94</v>
      </c>
      <c r="L14" s="154">
        <f>101*0.99</f>
        <v>99.99</v>
      </c>
      <c r="M14" s="154">
        <f>49*0.99</f>
        <v>48.51</v>
      </c>
      <c r="N14" s="154">
        <f>34*0.99</f>
        <v>33.66</v>
      </c>
      <c r="O14" s="154">
        <f>22*0.99</f>
        <v>21.78</v>
      </c>
      <c r="P14" s="154">
        <f>23*0.99</f>
        <v>22.77</v>
      </c>
      <c r="Q14" s="154">
        <f>28*0.99</f>
        <v>27.72</v>
      </c>
      <c r="R14" s="149">
        <f>SUM(F14:Q14)</f>
        <v>679.1399999999999</v>
      </c>
      <c r="S14" s="173">
        <f>R14/12</f>
        <v>56.59499999999999</v>
      </c>
      <c r="T14" s="149">
        <f>MAX(F14:Q14)</f>
        <v>105.92999999999999</v>
      </c>
      <c r="U14" s="40"/>
      <c r="V14" s="40"/>
      <c r="W14" s="40"/>
      <c r="X14" s="40"/>
    </row>
    <row r="15" spans="1:24" ht="15.75">
      <c r="A15" s="36"/>
      <c r="B15" s="108"/>
      <c r="D15" s="136"/>
      <c r="E15" s="109"/>
      <c r="F15" s="157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57"/>
      <c r="S15" s="174"/>
      <c r="T15" s="159"/>
      <c r="U15" s="40"/>
      <c r="V15" s="40"/>
      <c r="W15" s="40"/>
      <c r="X15" s="40"/>
    </row>
    <row r="16" spans="1:24" ht="15.75">
      <c r="A16" s="36">
        <v>2</v>
      </c>
      <c r="B16" s="108" t="s">
        <v>15</v>
      </c>
      <c r="D16" s="136" t="s">
        <v>562</v>
      </c>
      <c r="E16" s="109" t="s">
        <v>367</v>
      </c>
      <c r="F16" s="152">
        <v>26.223</v>
      </c>
      <c r="G16" s="152">
        <v>25.973</v>
      </c>
      <c r="H16" s="152">
        <v>16.832</v>
      </c>
      <c r="I16" s="152">
        <v>23.716</v>
      </c>
      <c r="J16" s="152">
        <v>36.051</v>
      </c>
      <c r="K16" s="152">
        <v>38.409</v>
      </c>
      <c r="L16" s="152">
        <v>37.508</v>
      </c>
      <c r="M16" s="152">
        <v>32.315</v>
      </c>
      <c r="N16" s="154">
        <v>21.054</v>
      </c>
      <c r="O16" s="154">
        <v>7.951</v>
      </c>
      <c r="P16" s="154">
        <v>10.283</v>
      </c>
      <c r="Q16" s="154">
        <v>18.886</v>
      </c>
      <c r="R16" s="149">
        <f>SUM(F16:Q16)</f>
        <v>295.2010000000001</v>
      </c>
      <c r="S16" s="173">
        <f>R16/12</f>
        <v>24.60008333333334</v>
      </c>
      <c r="T16" s="145">
        <f>MAX(F16:Q16)</f>
        <v>38.409</v>
      </c>
      <c r="U16" s="40"/>
      <c r="V16" s="40"/>
      <c r="W16" s="40"/>
      <c r="X16" s="40"/>
    </row>
    <row r="17" spans="1:24" ht="15.75">
      <c r="A17" s="36"/>
      <c r="B17" s="108"/>
      <c r="D17" s="136" t="s">
        <v>563</v>
      </c>
      <c r="E17" s="109"/>
      <c r="F17" s="152">
        <v>25.654172</v>
      </c>
      <c r="G17" s="152">
        <v>18.923265</v>
      </c>
      <c r="H17" s="152">
        <v>14.582925</v>
      </c>
      <c r="I17" s="152">
        <v>18.845176</v>
      </c>
      <c r="J17" s="152">
        <v>29.537906</v>
      </c>
      <c r="K17" s="152">
        <v>30.315889</v>
      </c>
      <c r="L17" s="152">
        <f>32*0.99</f>
        <v>31.68</v>
      </c>
      <c r="M17" s="152">
        <f>29*0.99</f>
        <v>28.71</v>
      </c>
      <c r="N17" s="152">
        <f>22*0.99</f>
        <v>21.78</v>
      </c>
      <c r="O17" s="152">
        <f>22*0.99</f>
        <v>21.78</v>
      </c>
      <c r="P17" s="152">
        <f>20*0.99</f>
        <v>19.8</v>
      </c>
      <c r="Q17" s="152">
        <f>22*0.99</f>
        <v>21.78</v>
      </c>
      <c r="R17" s="149">
        <f>SUM(F17:Q17)</f>
        <v>283.38933299999997</v>
      </c>
      <c r="S17" s="173">
        <f>R17/12</f>
        <v>23.615777749999996</v>
      </c>
      <c r="T17" s="149">
        <f>MAX(F17:Q17)</f>
        <v>31.68</v>
      </c>
      <c r="U17" s="40"/>
      <c r="V17" s="40"/>
      <c r="W17" s="40"/>
      <c r="X17" s="40"/>
    </row>
    <row r="18" spans="1:24" ht="15.75">
      <c r="A18" s="36"/>
      <c r="B18" s="108"/>
      <c r="D18" s="136" t="s">
        <v>685</v>
      </c>
      <c r="E18" s="109"/>
      <c r="F18" s="152">
        <f>32*0.99</f>
        <v>31.68</v>
      </c>
      <c r="G18" s="152">
        <v>16</v>
      </c>
      <c r="H18" s="152">
        <f>15*0.99</f>
        <v>14.85</v>
      </c>
      <c r="I18" s="152">
        <f>33*0.99</f>
        <v>32.67</v>
      </c>
      <c r="J18" s="152">
        <f>33*0.99</f>
        <v>32.67</v>
      </c>
      <c r="K18" s="152">
        <f>32*0.99</f>
        <v>31.68</v>
      </c>
      <c r="L18" s="152">
        <f>33*0.99</f>
        <v>32.67</v>
      </c>
      <c r="M18" s="152">
        <f>32*0.99</f>
        <v>31.68</v>
      </c>
      <c r="N18" s="152">
        <f>26*0.99</f>
        <v>25.74</v>
      </c>
      <c r="O18" s="152">
        <f>15*0.99</f>
        <v>14.85</v>
      </c>
      <c r="P18" s="152">
        <f>14*0.99</f>
        <v>13.86</v>
      </c>
      <c r="Q18" s="152">
        <f>19*0.99</f>
        <v>18.81</v>
      </c>
      <c r="R18" s="149">
        <f>SUM(F18:Q18)</f>
        <v>297.1600000000001</v>
      </c>
      <c r="S18" s="174"/>
      <c r="T18" s="149">
        <f>MAX(F18:Q18)</f>
        <v>32.67</v>
      </c>
      <c r="U18" s="40"/>
      <c r="V18" s="40"/>
      <c r="W18" s="40"/>
      <c r="X18" s="40"/>
    </row>
    <row r="19" spans="1:24" ht="15.75">
      <c r="A19" s="36"/>
      <c r="B19" s="108"/>
      <c r="D19" s="136"/>
      <c r="E19" s="109"/>
      <c r="F19" s="157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57"/>
      <c r="S19" s="174"/>
      <c r="T19" s="159"/>
      <c r="U19" s="40"/>
      <c r="V19" s="40"/>
      <c r="W19" s="40"/>
      <c r="X19" s="40"/>
    </row>
    <row r="20" spans="1:24" ht="15.75">
      <c r="A20" s="36">
        <v>3</v>
      </c>
      <c r="B20" s="108" t="s">
        <v>384</v>
      </c>
      <c r="D20" s="136" t="s">
        <v>562</v>
      </c>
      <c r="E20" s="109" t="s">
        <v>367</v>
      </c>
      <c r="F20" s="165">
        <v>164.585</v>
      </c>
      <c r="G20" s="152">
        <v>162.811</v>
      </c>
      <c r="H20" s="152">
        <v>162.529</v>
      </c>
      <c r="I20" s="152">
        <v>201.511</v>
      </c>
      <c r="J20" s="152">
        <v>170.212</v>
      </c>
      <c r="K20" s="152">
        <v>206.244</v>
      </c>
      <c r="L20" s="152">
        <v>167.059</v>
      </c>
      <c r="M20" s="152">
        <v>156.277</v>
      </c>
      <c r="N20" s="152">
        <v>66.856</v>
      </c>
      <c r="O20" s="152">
        <v>77.269</v>
      </c>
      <c r="P20" s="152">
        <v>40.949</v>
      </c>
      <c r="Q20" s="152">
        <v>55.66</v>
      </c>
      <c r="R20" s="149">
        <f>SUM(F20:Q20)</f>
        <v>1631.9620000000002</v>
      </c>
      <c r="S20" s="173">
        <f>R20/12</f>
        <v>135.99683333333334</v>
      </c>
      <c r="T20" s="145">
        <f>MAX(F20:Q20)</f>
        <v>206.244</v>
      </c>
      <c r="U20" s="40"/>
      <c r="V20" s="40"/>
      <c r="W20" s="40"/>
      <c r="X20" s="40"/>
    </row>
    <row r="21" spans="1:24" ht="15.75">
      <c r="A21" s="36"/>
      <c r="B21" s="108"/>
      <c r="D21" s="136" t="s">
        <v>563</v>
      </c>
      <c r="E21" s="109"/>
      <c r="F21" s="165">
        <v>74.493</v>
      </c>
      <c r="G21" s="152">
        <v>88.563</v>
      </c>
      <c r="H21" s="152">
        <v>117.471</v>
      </c>
      <c r="I21" s="152">
        <v>118.434</v>
      </c>
      <c r="J21" s="152">
        <v>145.633</v>
      </c>
      <c r="K21" s="152">
        <v>185.185</v>
      </c>
      <c r="L21" s="152">
        <f>179*0.99</f>
        <v>177.21</v>
      </c>
      <c r="M21" s="152">
        <f>158*0.99</f>
        <v>156.42</v>
      </c>
      <c r="N21" s="152">
        <f>30*0.99</f>
        <v>29.7</v>
      </c>
      <c r="O21" s="152">
        <f>67*0.99</f>
        <v>66.33</v>
      </c>
      <c r="P21" s="152">
        <f>61*0.99</f>
        <v>60.39</v>
      </c>
      <c r="Q21" s="152">
        <f>67*0.99</f>
        <v>66.33</v>
      </c>
      <c r="R21" s="160">
        <f>SUM(F21:Q21)</f>
        <v>1286.159</v>
      </c>
      <c r="S21" s="175">
        <f>R21/12</f>
        <v>107.17991666666667</v>
      </c>
      <c r="T21" s="149">
        <f>MAX(F21:Q21)</f>
        <v>185.185</v>
      </c>
      <c r="U21" s="40"/>
      <c r="V21" s="40"/>
      <c r="W21" s="40"/>
      <c r="X21" s="40"/>
    </row>
    <row r="22" spans="1:24" ht="15.75">
      <c r="A22" s="36"/>
      <c r="B22" s="108"/>
      <c r="D22" s="136" t="s">
        <v>685</v>
      </c>
      <c r="E22" s="109"/>
      <c r="F22" s="152">
        <f>86*0.99</f>
        <v>85.14</v>
      </c>
      <c r="G22" s="152">
        <f>89*0.99</f>
        <v>88.11</v>
      </c>
      <c r="H22" s="152">
        <f>76*0.99</f>
        <v>75.24</v>
      </c>
      <c r="I22" s="152">
        <f>137*0.99</f>
        <v>135.63</v>
      </c>
      <c r="J22" s="152">
        <f>143*0.99</f>
        <v>141.57</v>
      </c>
      <c r="K22" s="152">
        <f>144*0.99</f>
        <v>142.56</v>
      </c>
      <c r="L22" s="152">
        <f>122*0.99</f>
        <v>120.78</v>
      </c>
      <c r="M22" s="152">
        <f>93*0.99</f>
        <v>92.07</v>
      </c>
      <c r="N22" s="152">
        <f>68*0.99</f>
        <v>67.32</v>
      </c>
      <c r="O22" s="152">
        <f>78*0.99</f>
        <v>77.22</v>
      </c>
      <c r="P22" s="152">
        <f>68*0.99</f>
        <v>67.32</v>
      </c>
      <c r="Q22" s="152">
        <f>80*0.99</f>
        <v>79.2</v>
      </c>
      <c r="R22" s="160">
        <f>SUM(F22:Q22)</f>
        <v>1172.1599999999999</v>
      </c>
      <c r="S22" s="175">
        <f>R22/12</f>
        <v>97.67999999999999</v>
      </c>
      <c r="T22" s="149">
        <f>MAX(F22:Q22)</f>
        <v>142.56</v>
      </c>
      <c r="U22" s="40"/>
      <c r="V22" s="40"/>
      <c r="W22" s="40"/>
      <c r="X22" s="40"/>
    </row>
    <row r="23" spans="1:24" ht="15.75">
      <c r="A23" s="36"/>
      <c r="B23" s="108"/>
      <c r="D23" s="136"/>
      <c r="E23" s="109"/>
      <c r="F23" s="147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57"/>
      <c r="S23" s="174"/>
      <c r="T23" s="159"/>
      <c r="U23" s="40"/>
      <c r="V23" s="40"/>
      <c r="W23" s="40"/>
      <c r="X23" s="40"/>
    </row>
    <row r="24" spans="1:24" ht="15.75">
      <c r="A24" s="36">
        <v>4</v>
      </c>
      <c r="B24" s="108" t="s">
        <v>393</v>
      </c>
      <c r="D24" s="136" t="s">
        <v>562</v>
      </c>
      <c r="E24" s="109" t="s">
        <v>367</v>
      </c>
      <c r="F24" s="117">
        <v>83.36</v>
      </c>
      <c r="G24" s="117">
        <v>130.553</v>
      </c>
      <c r="H24" s="117">
        <v>96.14</v>
      </c>
      <c r="I24" s="117">
        <v>119.916</v>
      </c>
      <c r="J24" s="117">
        <v>49.586</v>
      </c>
      <c r="K24" s="117">
        <v>57.87</v>
      </c>
      <c r="L24" s="117">
        <v>52.699</v>
      </c>
      <c r="M24" s="117">
        <v>58.749</v>
      </c>
      <c r="N24" s="117">
        <v>27.593</v>
      </c>
      <c r="O24" s="117">
        <v>58.284</v>
      </c>
      <c r="P24" s="117">
        <v>54.199</v>
      </c>
      <c r="Q24" s="117">
        <v>63.36</v>
      </c>
      <c r="R24" s="149">
        <f>SUM(F24:Q24)</f>
        <v>852.3089999999999</v>
      </c>
      <c r="S24" s="173">
        <f>R24/12</f>
        <v>71.02574999999999</v>
      </c>
      <c r="T24" s="149">
        <f>MAX(F24:Q24)</f>
        <v>130.553</v>
      </c>
      <c r="U24" s="40"/>
      <c r="V24" s="40"/>
      <c r="W24" s="40"/>
      <c r="X24" s="40"/>
    </row>
    <row r="25" spans="1:24" ht="15.75">
      <c r="A25" s="36"/>
      <c r="B25" s="108"/>
      <c r="D25" s="136" t="s">
        <v>563</v>
      </c>
      <c r="E25" s="109"/>
      <c r="F25" s="117">
        <v>82.718021</v>
      </c>
      <c r="G25" s="117">
        <v>71.240834</v>
      </c>
      <c r="H25" s="117">
        <v>72.66919</v>
      </c>
      <c r="I25" s="117">
        <v>35.986232</v>
      </c>
      <c r="J25" s="117">
        <v>61.1922</v>
      </c>
      <c r="K25" s="117">
        <v>75.280038</v>
      </c>
      <c r="L25" s="117">
        <f>61*0.99</f>
        <v>60.39</v>
      </c>
      <c r="M25" s="117">
        <f>58*0.99</f>
        <v>57.42</v>
      </c>
      <c r="N25" s="117">
        <f>30*0.99</f>
        <v>29.7</v>
      </c>
      <c r="O25" s="117">
        <f>45*0.99</f>
        <v>44.55</v>
      </c>
      <c r="P25" s="117">
        <f>54*0.99</f>
        <v>53.46</v>
      </c>
      <c r="Q25" s="117">
        <f>60*0.99</f>
        <v>59.4</v>
      </c>
      <c r="R25" s="149">
        <f>SUM(F25:Q25)</f>
        <v>704.006515</v>
      </c>
      <c r="S25" s="173">
        <f>R25/12</f>
        <v>58.66720958333334</v>
      </c>
      <c r="T25" s="149">
        <f>MAX(F25:Q25)</f>
        <v>82.718021</v>
      </c>
      <c r="U25" s="40"/>
      <c r="V25" s="40"/>
      <c r="W25" s="40"/>
      <c r="X25" s="40"/>
    </row>
    <row r="26" spans="1:24" ht="15.75">
      <c r="A26" s="36"/>
      <c r="B26" s="108"/>
      <c r="D26" s="136" t="s">
        <v>685</v>
      </c>
      <c r="E26" s="109"/>
      <c r="F26" s="117">
        <f>86*0.99</f>
        <v>85.14</v>
      </c>
      <c r="G26" s="117">
        <f>89*0.99</f>
        <v>88.11</v>
      </c>
      <c r="H26" s="117">
        <f>86*0.99</f>
        <v>85.14</v>
      </c>
      <c r="I26" s="117">
        <f>62*0.99</f>
        <v>61.38</v>
      </c>
      <c r="J26" s="117">
        <f>111*0.99</f>
        <v>109.89</v>
      </c>
      <c r="K26" s="117">
        <f>84*0.99</f>
        <v>83.16</v>
      </c>
      <c r="L26" s="117">
        <f>87*0.99</f>
        <v>86.13</v>
      </c>
      <c r="M26" s="117">
        <f>51*0.99</f>
        <v>50.49</v>
      </c>
      <c r="N26" s="117">
        <f>33*0.99</f>
        <v>32.67</v>
      </c>
      <c r="O26" s="117">
        <f>44*0.99</f>
        <v>43.56</v>
      </c>
      <c r="P26" s="117">
        <f>47*0.99</f>
        <v>46.53</v>
      </c>
      <c r="Q26" s="117">
        <f>54*0.99</f>
        <v>53.46</v>
      </c>
      <c r="R26" s="149">
        <f>SUM(F26:Q26)</f>
        <v>825.6599999999999</v>
      </c>
      <c r="S26" s="173">
        <f>R26/12</f>
        <v>68.80499999999999</v>
      </c>
      <c r="T26" s="149">
        <f>MAX(F26:Q26)</f>
        <v>109.89</v>
      </c>
      <c r="U26" s="40"/>
      <c r="V26" s="40"/>
      <c r="W26" s="40"/>
      <c r="X26" s="40"/>
    </row>
    <row r="27" spans="1:24" ht="15.75">
      <c r="A27" s="36"/>
      <c r="B27" s="108"/>
      <c r="D27" s="136"/>
      <c r="E27" s="109"/>
      <c r="F27" s="153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53"/>
      <c r="S27" s="176"/>
      <c r="T27" s="148"/>
      <c r="U27" s="40"/>
      <c r="V27" s="40"/>
      <c r="W27" s="40"/>
      <c r="X27" s="40"/>
    </row>
    <row r="28" spans="1:24" ht="15.75">
      <c r="A28" s="36">
        <v>5</v>
      </c>
      <c r="B28" s="108" t="s">
        <v>385</v>
      </c>
      <c r="D28" s="136" t="s">
        <v>562</v>
      </c>
      <c r="E28" s="109" t="s">
        <v>367</v>
      </c>
      <c r="F28" s="152">
        <v>93.98</v>
      </c>
      <c r="G28" s="154">
        <v>63.015</v>
      </c>
      <c r="H28" s="154">
        <v>27.661</v>
      </c>
      <c r="I28" s="154">
        <v>59.387</v>
      </c>
      <c r="J28" s="154">
        <v>163.08</v>
      </c>
      <c r="K28" s="154">
        <v>147.34</v>
      </c>
      <c r="L28" s="152">
        <v>154.807</v>
      </c>
      <c r="M28" s="152">
        <v>72.368</v>
      </c>
      <c r="N28" s="154">
        <v>38.571</v>
      </c>
      <c r="O28" s="154">
        <v>11.875</v>
      </c>
      <c r="P28" s="154">
        <v>19.441</v>
      </c>
      <c r="Q28" s="154">
        <v>33.948</v>
      </c>
      <c r="R28" s="149">
        <f>SUM(F28:Q28)</f>
        <v>885.4730000000002</v>
      </c>
      <c r="S28" s="173">
        <f>R28/12</f>
        <v>73.78941666666668</v>
      </c>
      <c r="T28" s="149">
        <f>MAX(F28:Q28)</f>
        <v>163.08</v>
      </c>
      <c r="U28" s="40"/>
      <c r="V28" s="40"/>
      <c r="W28" s="40"/>
      <c r="X28" s="40"/>
    </row>
    <row r="29" spans="1:24" ht="15.75">
      <c r="A29" s="36"/>
      <c r="B29" s="108"/>
      <c r="D29" s="136" t="s">
        <v>563</v>
      </c>
      <c r="E29" s="109"/>
      <c r="F29" s="152">
        <v>74.045</v>
      </c>
      <c r="G29" s="154">
        <v>63.613</v>
      </c>
      <c r="H29" s="154">
        <v>63.202</v>
      </c>
      <c r="I29" s="154">
        <v>60.656</v>
      </c>
      <c r="J29" s="154">
        <v>169.291</v>
      </c>
      <c r="K29" s="154">
        <v>165.092</v>
      </c>
      <c r="L29" s="154">
        <f>54*0.99</f>
        <v>53.46</v>
      </c>
      <c r="M29" s="154">
        <f>43*0.99</f>
        <v>42.57</v>
      </c>
      <c r="N29" s="154">
        <f>15*0.99</f>
        <v>14.85</v>
      </c>
      <c r="O29" s="154">
        <f>23*0.99</f>
        <v>22.77</v>
      </c>
      <c r="P29" s="154">
        <f>27*0.99</f>
        <v>26.73</v>
      </c>
      <c r="Q29" s="154">
        <f>30*0.99</f>
        <v>29.7</v>
      </c>
      <c r="R29" s="149">
        <f>SUM(F29:Q29)</f>
        <v>785.9790000000002</v>
      </c>
      <c r="S29" s="161">
        <f>R29/12</f>
        <v>65.49825000000001</v>
      </c>
      <c r="T29" s="145">
        <f>MAX(F29:Q29)</f>
        <v>169.291</v>
      </c>
      <c r="U29" s="40"/>
      <c r="V29" s="40"/>
      <c r="W29" s="40"/>
      <c r="X29" s="40"/>
    </row>
    <row r="30" spans="1:24" ht="15.75">
      <c r="A30" s="36"/>
      <c r="B30" s="108"/>
      <c r="D30" s="136" t="s">
        <v>685</v>
      </c>
      <c r="E30" s="109"/>
      <c r="F30" s="152">
        <f>36*0.99</f>
        <v>35.64</v>
      </c>
      <c r="G30" s="154">
        <f>37*0.99</f>
        <v>36.63</v>
      </c>
      <c r="H30" s="154">
        <f>29*0.99</f>
        <v>28.71</v>
      </c>
      <c r="I30" s="154">
        <f>91*0.99</f>
        <v>90.09</v>
      </c>
      <c r="J30" s="154">
        <f>133*0.99</f>
        <v>131.67</v>
      </c>
      <c r="K30" s="154">
        <f>131*0.99</f>
        <v>129.69</v>
      </c>
      <c r="L30" s="154">
        <f>80*0.99</f>
        <v>79.2</v>
      </c>
      <c r="M30" s="154">
        <f>50*0.99</f>
        <v>49.5</v>
      </c>
      <c r="N30" s="154">
        <f>34*0.99</f>
        <v>33.66</v>
      </c>
      <c r="O30" s="154">
        <f>27*0.99</f>
        <v>26.73</v>
      </c>
      <c r="P30" s="154">
        <f>21*0.99</f>
        <v>20.79</v>
      </c>
      <c r="Q30" s="154">
        <f>31*0.99</f>
        <v>30.69</v>
      </c>
      <c r="R30" s="149">
        <f>SUM(F30:Q30)</f>
        <v>693</v>
      </c>
      <c r="S30" s="161">
        <f>R30/12</f>
        <v>57.75</v>
      </c>
      <c r="T30" s="145">
        <f>MAX(F30:Q30)</f>
        <v>131.67</v>
      </c>
      <c r="U30" s="151"/>
      <c r="V30" s="40"/>
      <c r="W30" s="40"/>
      <c r="X30" s="40"/>
    </row>
    <row r="31" spans="1:24" ht="15.75">
      <c r="A31" s="36"/>
      <c r="B31" s="108"/>
      <c r="D31" s="136"/>
      <c r="E31" s="109"/>
      <c r="F31" s="113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49"/>
      <c r="S31" s="162"/>
      <c r="T31" s="152"/>
      <c r="U31" s="151"/>
      <c r="V31" s="40"/>
      <c r="W31" s="40"/>
      <c r="X31" s="40"/>
    </row>
    <row r="32" spans="1:24" ht="15.75">
      <c r="A32" s="36"/>
      <c r="B32" s="108"/>
      <c r="D32" s="136"/>
      <c r="E32" s="109"/>
      <c r="F32" s="113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49"/>
      <c r="S32" s="162"/>
      <c r="T32" s="152"/>
      <c r="U32" s="151"/>
      <c r="V32" s="40"/>
      <c r="W32" s="170">
        <f>R12+R16+R20+R24+R28+R37+R41</f>
        <v>7014.527</v>
      </c>
      <c r="X32" s="40"/>
    </row>
    <row r="33" spans="1:24" s="41" customFormat="1" ht="15.75">
      <c r="A33" s="36"/>
      <c r="B33" s="108" t="s">
        <v>16</v>
      </c>
      <c r="C33" s="60"/>
      <c r="D33" s="136" t="s">
        <v>562</v>
      </c>
      <c r="E33" s="109" t="s">
        <v>367</v>
      </c>
      <c r="F33" s="149">
        <f>F12+F16+F20+F24+F28</f>
        <v>406.82500000000005</v>
      </c>
      <c r="G33" s="149">
        <f aca="true" t="shared" si="0" ref="G33:Q33">G12+G16+G20+G24+G28</f>
        <v>415.1</v>
      </c>
      <c r="H33" s="149">
        <f t="shared" si="0"/>
        <v>327.712</v>
      </c>
      <c r="I33" s="149">
        <f t="shared" si="0"/>
        <v>462.14300000000003</v>
      </c>
      <c r="J33" s="149">
        <f t="shared" si="0"/>
        <v>528.937</v>
      </c>
      <c r="K33" s="149">
        <f t="shared" si="0"/>
        <v>568.124</v>
      </c>
      <c r="L33" s="149">
        <f t="shared" si="0"/>
        <v>535.614</v>
      </c>
      <c r="M33" s="149">
        <f t="shared" si="0"/>
        <v>387.374</v>
      </c>
      <c r="N33" s="149">
        <f t="shared" si="0"/>
        <v>188.706</v>
      </c>
      <c r="O33" s="149">
        <f t="shared" si="0"/>
        <v>167.306</v>
      </c>
      <c r="P33" s="149">
        <f t="shared" si="0"/>
        <v>145.93099999999998</v>
      </c>
      <c r="Q33" s="149">
        <f t="shared" si="0"/>
        <v>200.531</v>
      </c>
      <c r="R33" s="149">
        <f>R12+R16+R20+R24+R28</f>
        <v>4334.303</v>
      </c>
      <c r="S33" s="161">
        <f>R33/12</f>
        <v>361.19191666666666</v>
      </c>
      <c r="T33" s="145">
        <f>MAX(F33:Q33)</f>
        <v>568.124</v>
      </c>
      <c r="U33" s="11"/>
      <c r="V33" s="11"/>
      <c r="W33" s="11"/>
      <c r="X33" s="11"/>
    </row>
    <row r="34" spans="1:24" s="41" customFormat="1" ht="15.75">
      <c r="A34" s="36"/>
      <c r="B34" s="108"/>
      <c r="C34" s="60"/>
      <c r="D34" s="136" t="s">
        <v>563</v>
      </c>
      <c r="E34" s="109"/>
      <c r="F34" s="149">
        <f aca="true" t="shared" si="1" ref="F34:P34">F13+F17+F21+F25+F29</f>
        <v>295.37303299999996</v>
      </c>
      <c r="G34" s="149">
        <f t="shared" si="1"/>
        <v>278.147023</v>
      </c>
      <c r="H34" s="149">
        <f t="shared" si="1"/>
        <v>302.846579</v>
      </c>
      <c r="I34" s="149">
        <f t="shared" si="1"/>
        <v>270.215102</v>
      </c>
      <c r="J34" s="149">
        <f t="shared" si="1"/>
        <v>484.00442200000003</v>
      </c>
      <c r="K34" s="149">
        <f t="shared" si="1"/>
        <v>540.388866</v>
      </c>
      <c r="L34" s="149">
        <f t="shared" si="1"/>
        <v>402.93</v>
      </c>
      <c r="M34" s="149">
        <f t="shared" si="1"/>
        <v>342.53999999999996</v>
      </c>
      <c r="N34" s="149">
        <f t="shared" si="1"/>
        <v>125.73</v>
      </c>
      <c r="O34" s="149">
        <f t="shared" si="1"/>
        <v>185.13000000000002</v>
      </c>
      <c r="P34" s="149">
        <f t="shared" si="1"/>
        <v>187.10999999999999</v>
      </c>
      <c r="Q34" s="149">
        <f>Q13+Q17+Q21+Q25+Q29</f>
        <v>206.91</v>
      </c>
      <c r="R34" s="149">
        <f>R13+R17+R21+R25+R29</f>
        <v>3621.3250250000006</v>
      </c>
      <c r="S34" s="161">
        <f>R34/12</f>
        <v>301.7770854166667</v>
      </c>
      <c r="T34" s="145">
        <f>MAX(F34:Q34)</f>
        <v>540.388866</v>
      </c>
      <c r="U34" s="11"/>
      <c r="V34" s="11"/>
      <c r="W34" s="11"/>
      <c r="X34" s="11"/>
    </row>
    <row r="35" spans="1:24" s="41" customFormat="1" ht="15.75">
      <c r="A35" s="36"/>
      <c r="B35" s="108"/>
      <c r="C35" s="60"/>
      <c r="D35" s="136" t="s">
        <v>685</v>
      </c>
      <c r="E35" s="109"/>
      <c r="F35" s="149">
        <f aca="true" t="shared" si="2" ref="F35:P35">F14+F18+F22+F26+F30</f>
        <v>295.02</v>
      </c>
      <c r="G35" s="149">
        <f t="shared" si="2"/>
        <v>264.49</v>
      </c>
      <c r="H35" s="149">
        <f t="shared" si="2"/>
        <v>230.67</v>
      </c>
      <c r="I35" s="149">
        <f t="shared" si="2"/>
        <v>413.82000000000005</v>
      </c>
      <c r="J35" s="149">
        <f t="shared" si="2"/>
        <v>521.7299999999999</v>
      </c>
      <c r="K35" s="149">
        <f t="shared" si="2"/>
        <v>492.03000000000003</v>
      </c>
      <c r="L35" s="149">
        <f t="shared" si="2"/>
        <v>418.77</v>
      </c>
      <c r="M35" s="149">
        <f t="shared" si="2"/>
        <v>272.25</v>
      </c>
      <c r="N35" s="149">
        <f t="shared" si="2"/>
        <v>193.04999999999998</v>
      </c>
      <c r="O35" s="149">
        <f t="shared" si="2"/>
        <v>184.14</v>
      </c>
      <c r="P35" s="149">
        <f t="shared" si="2"/>
        <v>171.26999999999998</v>
      </c>
      <c r="Q35" s="149">
        <f>Q14+Q18+Q22+Q26+Q30</f>
        <v>209.88</v>
      </c>
      <c r="R35" s="149">
        <f>R14+R18+R22+R26+R30</f>
        <v>3667.12</v>
      </c>
      <c r="S35" s="161">
        <f>R35/12</f>
        <v>305.5933333333333</v>
      </c>
      <c r="T35" s="145">
        <f>MAX(F35:Q35)</f>
        <v>521.7299999999999</v>
      </c>
      <c r="U35" s="11"/>
      <c r="V35" s="11"/>
      <c r="W35" s="11"/>
      <c r="X35" s="11"/>
    </row>
    <row r="36" spans="1:24" s="41" customFormat="1" ht="15.75">
      <c r="A36" s="36"/>
      <c r="B36" s="108"/>
      <c r="C36" s="60"/>
      <c r="D36" s="136"/>
      <c r="E36" s="109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63"/>
      <c r="S36" s="177"/>
      <c r="T36" s="164"/>
      <c r="U36" s="11"/>
      <c r="V36" s="11"/>
      <c r="W36" s="11"/>
      <c r="X36" s="11"/>
    </row>
    <row r="37" spans="1:24" ht="15.75">
      <c r="A37" s="36">
        <v>6</v>
      </c>
      <c r="B37" s="108" t="s">
        <v>394</v>
      </c>
      <c r="D37" s="136" t="s">
        <v>562</v>
      </c>
      <c r="E37" s="109" t="s">
        <v>367</v>
      </c>
      <c r="F37" s="152">
        <v>244.922</v>
      </c>
      <c r="G37" s="152">
        <v>267.493</v>
      </c>
      <c r="H37" s="152">
        <v>217.518</v>
      </c>
      <c r="I37" s="152">
        <v>324.177</v>
      </c>
      <c r="J37" s="152">
        <v>227.705</v>
      </c>
      <c r="K37" s="152">
        <v>260.677</v>
      </c>
      <c r="L37" s="152">
        <v>194.217</v>
      </c>
      <c r="M37" s="152">
        <v>113.35</v>
      </c>
      <c r="N37" s="152">
        <v>42.555</v>
      </c>
      <c r="O37" s="152">
        <v>118.926</v>
      </c>
      <c r="P37" s="152">
        <v>186.099</v>
      </c>
      <c r="Q37" s="152">
        <v>247.467</v>
      </c>
      <c r="R37" s="145">
        <f>SUM(F37:Q37)</f>
        <v>2445.106</v>
      </c>
      <c r="S37" s="161">
        <v>161.865</v>
      </c>
      <c r="T37" s="145">
        <v>220.77</v>
      </c>
      <c r="U37" s="40"/>
      <c r="V37" s="40"/>
      <c r="W37" s="40"/>
      <c r="X37" s="40"/>
    </row>
    <row r="38" spans="1:24" ht="15.75">
      <c r="A38" s="36"/>
      <c r="B38" s="108"/>
      <c r="D38" s="136" t="s">
        <v>563</v>
      </c>
      <c r="E38" s="109"/>
      <c r="F38" s="152">
        <v>316.672</v>
      </c>
      <c r="G38" s="152">
        <v>293.479</v>
      </c>
      <c r="H38" s="152">
        <v>200.39</v>
      </c>
      <c r="I38" s="152">
        <v>109.721</v>
      </c>
      <c r="J38" s="152">
        <v>344.305</v>
      </c>
      <c r="K38" s="152">
        <v>407.075</v>
      </c>
      <c r="L38" s="152">
        <f>250*0.99</f>
        <v>247.5</v>
      </c>
      <c r="M38" s="152">
        <f>216*0.99</f>
        <v>213.84</v>
      </c>
      <c r="N38" s="152">
        <f>74*0.99</f>
        <v>73.26</v>
      </c>
      <c r="O38" s="152">
        <f>113*0.99</f>
        <v>111.87</v>
      </c>
      <c r="P38" s="152">
        <f>168*0.99</f>
        <v>166.32</v>
      </c>
      <c r="Q38" s="152">
        <f>260*0.99</f>
        <v>257.4</v>
      </c>
      <c r="R38" s="149">
        <f>SUM(F38:Q38)</f>
        <v>2741.8320000000003</v>
      </c>
      <c r="S38" s="173">
        <f>R38/12</f>
        <v>228.48600000000002</v>
      </c>
      <c r="T38" s="149">
        <f>MAX(F38:Q38)</f>
        <v>407.075</v>
      </c>
      <c r="U38" s="40"/>
      <c r="V38" s="40"/>
      <c r="W38" s="40"/>
      <c r="X38" s="40"/>
    </row>
    <row r="39" spans="1:24" ht="15.75">
      <c r="A39" s="36"/>
      <c r="B39" s="108"/>
      <c r="D39" s="136" t="s">
        <v>685</v>
      </c>
      <c r="E39" s="109"/>
      <c r="F39" s="152">
        <f>252*0.99</f>
        <v>249.48</v>
      </c>
      <c r="G39" s="152">
        <f>260*0.99</f>
        <v>257.4</v>
      </c>
      <c r="H39" s="152">
        <f>166*0.99</f>
        <v>164.34</v>
      </c>
      <c r="I39" s="152">
        <f>149*0.99</f>
        <v>147.51</v>
      </c>
      <c r="J39" s="152">
        <f>149*0.99</f>
        <v>147.51</v>
      </c>
      <c r="K39" s="152">
        <f>235*0.99</f>
        <v>232.65</v>
      </c>
      <c r="L39" s="152">
        <f>212*0.99</f>
        <v>209.88</v>
      </c>
      <c r="M39" s="152">
        <f>129*0.99</f>
        <v>127.71</v>
      </c>
      <c r="N39" s="152">
        <f>37*0.99</f>
        <v>36.63</v>
      </c>
      <c r="O39" s="152">
        <f>135*0.99</f>
        <v>133.65</v>
      </c>
      <c r="P39" s="152">
        <f>149*0.99</f>
        <v>147.51</v>
      </c>
      <c r="Q39" s="152">
        <f>174*0.99</f>
        <v>172.26</v>
      </c>
      <c r="R39" s="149">
        <f>SUM(F39:Q39)</f>
        <v>2026.5300000000002</v>
      </c>
      <c r="S39" s="173">
        <f>R39/12</f>
        <v>168.87750000000003</v>
      </c>
      <c r="T39" s="145">
        <f>MAX(F39:Q39)</f>
        <v>257.4</v>
      </c>
      <c r="U39" s="40"/>
      <c r="V39" s="40"/>
      <c r="W39" s="40"/>
      <c r="X39" s="40"/>
    </row>
    <row r="40" spans="1:24" ht="15.75">
      <c r="A40" s="36"/>
      <c r="B40" s="108"/>
      <c r="D40" s="136"/>
      <c r="E40" s="109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63"/>
      <c r="S40" s="177"/>
      <c r="T40" s="164"/>
      <c r="U40" s="40"/>
      <c r="V40" s="40"/>
      <c r="W40" s="40"/>
      <c r="X40" s="40"/>
    </row>
    <row r="41" spans="1:24" ht="15.75">
      <c r="A41" s="36">
        <v>7</v>
      </c>
      <c r="B41" s="108" t="s">
        <v>429</v>
      </c>
      <c r="D41" s="136" t="s">
        <v>562</v>
      </c>
      <c r="E41" s="109" t="s">
        <v>367</v>
      </c>
      <c r="F41" s="152">
        <v>26.793</v>
      </c>
      <c r="G41" s="152">
        <v>29.392</v>
      </c>
      <c r="H41" s="152">
        <v>14.801</v>
      </c>
      <c r="I41" s="152">
        <v>23.431</v>
      </c>
      <c r="J41" s="152">
        <v>19.249</v>
      </c>
      <c r="K41" s="152">
        <v>22.491</v>
      </c>
      <c r="L41" s="152">
        <v>13.285</v>
      </c>
      <c r="M41" s="152">
        <v>13.248</v>
      </c>
      <c r="N41" s="152">
        <v>17.253</v>
      </c>
      <c r="O41" s="152">
        <v>17.607</v>
      </c>
      <c r="P41" s="152">
        <v>16.049</v>
      </c>
      <c r="Q41" s="152">
        <v>21.519</v>
      </c>
      <c r="R41" s="145">
        <f>SUM(F41:Q41)</f>
        <v>235.118</v>
      </c>
      <c r="S41" s="161">
        <f>R41/12</f>
        <v>19.593166666666665</v>
      </c>
      <c r="T41" s="145">
        <f>MAX(F41:Q41)</f>
        <v>29.392</v>
      </c>
      <c r="U41" s="40"/>
      <c r="V41" s="40"/>
      <c r="W41" s="40"/>
      <c r="X41" s="40"/>
    </row>
    <row r="42" spans="1:24" ht="15.75">
      <c r="A42" s="36"/>
      <c r="B42" s="108"/>
      <c r="D42" s="136" t="s">
        <v>563</v>
      </c>
      <c r="E42" s="109"/>
      <c r="F42" s="152">
        <v>24.86</v>
      </c>
      <c r="G42" s="152">
        <v>15.698</v>
      </c>
      <c r="H42" s="152">
        <v>20.474</v>
      </c>
      <c r="I42" s="152">
        <v>34.917</v>
      </c>
      <c r="J42" s="152">
        <v>32.184</v>
      </c>
      <c r="K42" s="152">
        <v>17.151</v>
      </c>
      <c r="L42" s="152">
        <f aca="true" t="shared" si="3" ref="L42:Q42">(262.5-145.28)/6</f>
        <v>19.536666666666665</v>
      </c>
      <c r="M42" s="152">
        <f t="shared" si="3"/>
        <v>19.536666666666665</v>
      </c>
      <c r="N42" s="152">
        <f t="shared" si="3"/>
        <v>19.536666666666665</v>
      </c>
      <c r="O42" s="152">
        <f t="shared" si="3"/>
        <v>19.536666666666665</v>
      </c>
      <c r="P42" s="152">
        <f t="shared" si="3"/>
        <v>19.536666666666665</v>
      </c>
      <c r="Q42" s="152">
        <f t="shared" si="3"/>
        <v>19.536666666666665</v>
      </c>
      <c r="R42" s="149">
        <f>SUM(F42:Q42)</f>
        <v>262.50399999999996</v>
      </c>
      <c r="S42" s="162">
        <f>R42/12</f>
        <v>21.87533333333333</v>
      </c>
      <c r="T42" s="152">
        <f>MAX(F42:Q42)</f>
        <v>34.917</v>
      </c>
      <c r="U42" s="40"/>
      <c r="V42" s="40"/>
      <c r="W42" s="40"/>
      <c r="X42" s="40"/>
    </row>
    <row r="43" spans="1:24" ht="15.75">
      <c r="A43" s="36"/>
      <c r="B43" s="108"/>
      <c r="D43" s="136" t="s">
        <v>685</v>
      </c>
      <c r="E43" s="109"/>
      <c r="F43" s="113">
        <v>15.2</v>
      </c>
      <c r="G43" s="113">
        <v>21.8</v>
      </c>
      <c r="H43" s="113">
        <v>12</v>
      </c>
      <c r="I43" s="113">
        <v>16</v>
      </c>
      <c r="J43" s="113">
        <v>16</v>
      </c>
      <c r="K43" s="113">
        <v>15</v>
      </c>
      <c r="L43" s="192">
        <v>49</v>
      </c>
      <c r="M43" s="192">
        <v>35.5</v>
      </c>
      <c r="N43" s="192">
        <v>30</v>
      </c>
      <c r="O43" s="192">
        <v>20</v>
      </c>
      <c r="P43" s="192">
        <v>15</v>
      </c>
      <c r="Q43" s="192">
        <v>17</v>
      </c>
      <c r="R43" s="149">
        <f>SUM(F43:Q43)</f>
        <v>262.5</v>
      </c>
      <c r="S43" s="162">
        <f>R43/12</f>
        <v>21.875</v>
      </c>
      <c r="T43" s="152">
        <f>MAX(F43:Q43)</f>
        <v>49</v>
      </c>
      <c r="U43" s="40"/>
      <c r="V43" s="170"/>
      <c r="W43" s="40"/>
      <c r="X43" s="40"/>
    </row>
    <row r="44" spans="1:24" ht="15.75">
      <c r="A44" s="36"/>
      <c r="B44" s="108"/>
      <c r="D44" s="136"/>
      <c r="E44" s="109"/>
      <c r="F44" s="152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49"/>
      <c r="S44" s="162"/>
      <c r="T44" s="152"/>
      <c r="U44" s="40"/>
      <c r="V44" s="40"/>
      <c r="W44" s="40"/>
      <c r="X44" s="40"/>
    </row>
    <row r="45" spans="1:24" ht="15.75">
      <c r="A45" s="36"/>
      <c r="B45" s="108"/>
      <c r="D45" s="136"/>
      <c r="E45" s="109"/>
      <c r="F45" s="152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49"/>
      <c r="S45" s="162"/>
      <c r="T45" s="152"/>
      <c r="U45" s="40"/>
      <c r="V45" s="40"/>
      <c r="W45" s="40"/>
      <c r="X45" s="40"/>
    </row>
    <row r="46" spans="1:24" s="41" customFormat="1" ht="15.75">
      <c r="A46" s="42"/>
      <c r="B46" s="108" t="s">
        <v>432</v>
      </c>
      <c r="C46" s="60"/>
      <c r="D46" s="136" t="s">
        <v>562</v>
      </c>
      <c r="E46" s="109" t="s">
        <v>367</v>
      </c>
      <c r="F46" s="418">
        <f>F33+F37+F41</f>
        <v>678.5400000000001</v>
      </c>
      <c r="G46" s="418">
        <f aca="true" t="shared" si="4" ref="G46:Q46">G33+G37+G41</f>
        <v>711.9850000000001</v>
      </c>
      <c r="H46" s="418">
        <f t="shared" si="4"/>
        <v>560.0310000000001</v>
      </c>
      <c r="I46" s="418">
        <f t="shared" si="4"/>
        <v>809.7510000000001</v>
      </c>
      <c r="J46" s="418">
        <f t="shared" si="4"/>
        <v>775.8910000000001</v>
      </c>
      <c r="K46" s="418">
        <f t="shared" si="4"/>
        <v>851.292</v>
      </c>
      <c r="L46" s="418">
        <f t="shared" si="4"/>
        <v>743.116</v>
      </c>
      <c r="M46" s="418">
        <f t="shared" si="4"/>
        <v>513.9720000000001</v>
      </c>
      <c r="N46" s="418">
        <f t="shared" si="4"/>
        <v>248.514</v>
      </c>
      <c r="O46" s="418">
        <f t="shared" si="4"/>
        <v>303.83900000000006</v>
      </c>
      <c r="P46" s="418">
        <f t="shared" si="4"/>
        <v>348.07899999999995</v>
      </c>
      <c r="Q46" s="418">
        <f t="shared" si="4"/>
        <v>469.51700000000005</v>
      </c>
      <c r="R46" s="418">
        <f>R33+R37+R41</f>
        <v>7014.527</v>
      </c>
      <c r="S46" s="419">
        <f>R46/12</f>
        <v>584.5439166666666</v>
      </c>
      <c r="T46" s="145">
        <f>MAX(F46:Q46)</f>
        <v>851.292</v>
      </c>
      <c r="U46" s="11"/>
      <c r="V46" s="11"/>
      <c r="W46" s="11"/>
      <c r="X46" s="11"/>
    </row>
    <row r="47" spans="1:24" ht="15.75">
      <c r="A47" s="36"/>
      <c r="C47" s="120"/>
      <c r="D47" s="136" t="s">
        <v>563</v>
      </c>
      <c r="E47" s="109"/>
      <c r="F47" s="418">
        <f aca="true" t="shared" si="5" ref="F47:Q48">F34+F38+F42</f>
        <v>636.905033</v>
      </c>
      <c r="G47" s="418">
        <f t="shared" si="5"/>
        <v>587.324023</v>
      </c>
      <c r="H47" s="418">
        <f t="shared" si="5"/>
        <v>523.710579</v>
      </c>
      <c r="I47" s="418">
        <f t="shared" si="5"/>
        <v>414.85310200000004</v>
      </c>
      <c r="J47" s="418">
        <f t="shared" si="5"/>
        <v>860.493422</v>
      </c>
      <c r="K47" s="418">
        <f t="shared" si="5"/>
        <v>964.614866</v>
      </c>
      <c r="L47" s="418">
        <f t="shared" si="5"/>
        <v>669.9666666666667</v>
      </c>
      <c r="M47" s="418">
        <f t="shared" si="5"/>
        <v>575.9166666666666</v>
      </c>
      <c r="N47" s="418">
        <f t="shared" si="5"/>
        <v>218.52666666666667</v>
      </c>
      <c r="O47" s="418">
        <f t="shared" si="5"/>
        <v>316.5366666666667</v>
      </c>
      <c r="P47" s="418">
        <f t="shared" si="5"/>
        <v>372.96666666666664</v>
      </c>
      <c r="Q47" s="418">
        <f t="shared" si="5"/>
        <v>483.84666666666664</v>
      </c>
      <c r="R47" s="418">
        <f>R34+R38+R42</f>
        <v>6625.661025</v>
      </c>
      <c r="S47" s="419">
        <f>R47/12</f>
        <v>552.13841875</v>
      </c>
      <c r="T47" s="145">
        <f>MAX(F47:Q47)</f>
        <v>964.614866</v>
      </c>
      <c r="U47" s="40"/>
      <c r="V47" s="40"/>
      <c r="W47" s="40"/>
      <c r="X47" s="40"/>
    </row>
    <row r="48" spans="1:24" ht="15.75">
      <c r="A48" s="36"/>
      <c r="B48" s="108"/>
      <c r="C48" s="120"/>
      <c r="D48" s="136" t="s">
        <v>685</v>
      </c>
      <c r="E48" s="109"/>
      <c r="F48" s="418">
        <f t="shared" si="5"/>
        <v>559.7</v>
      </c>
      <c r="G48" s="418">
        <f t="shared" si="5"/>
        <v>543.6899999999999</v>
      </c>
      <c r="H48" s="418">
        <f t="shared" si="5"/>
        <v>407.01</v>
      </c>
      <c r="I48" s="418">
        <f t="shared" si="5"/>
        <v>577.33</v>
      </c>
      <c r="J48" s="418">
        <f t="shared" si="5"/>
        <v>685.2399999999999</v>
      </c>
      <c r="K48" s="418">
        <f t="shared" si="5"/>
        <v>739.6800000000001</v>
      </c>
      <c r="L48" s="418">
        <f t="shared" si="5"/>
        <v>677.65</v>
      </c>
      <c r="M48" s="418">
        <f t="shared" si="5"/>
        <v>435.46</v>
      </c>
      <c r="N48" s="418">
        <f t="shared" si="5"/>
        <v>259.67999999999995</v>
      </c>
      <c r="O48" s="418">
        <f t="shared" si="5"/>
        <v>337.78999999999996</v>
      </c>
      <c r="P48" s="418">
        <f t="shared" si="5"/>
        <v>333.78</v>
      </c>
      <c r="Q48" s="418">
        <f t="shared" si="5"/>
        <v>399.14</v>
      </c>
      <c r="R48" s="418">
        <f>R35+R39+R43</f>
        <v>5956.15</v>
      </c>
      <c r="S48" s="419">
        <f>R48/12</f>
        <v>496.3458333333333</v>
      </c>
      <c r="T48" s="145">
        <f>MAX(F48:Q48)</f>
        <v>739.6800000000001</v>
      </c>
      <c r="U48" s="40"/>
      <c r="V48" s="40"/>
      <c r="W48" s="40"/>
      <c r="X48" s="40"/>
    </row>
    <row r="49" spans="1:24" ht="31.5">
      <c r="A49" s="36"/>
      <c r="B49" s="108" t="s">
        <v>17</v>
      </c>
      <c r="C49" s="120"/>
      <c r="D49" s="136"/>
      <c r="E49" s="109"/>
      <c r="F49" s="118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18"/>
      <c r="S49" s="178"/>
      <c r="T49" s="9"/>
      <c r="U49" s="40"/>
      <c r="V49" s="40"/>
      <c r="W49" s="40"/>
      <c r="X49" s="40"/>
    </row>
    <row r="50" spans="1:24" ht="15.75">
      <c r="A50" s="36"/>
      <c r="B50" s="108" t="s">
        <v>14</v>
      </c>
      <c r="D50" s="136" t="s">
        <v>562</v>
      </c>
      <c r="E50" s="109" t="s">
        <v>482</v>
      </c>
      <c r="F50" s="156">
        <v>614.93</v>
      </c>
      <c r="G50" s="399">
        <v>606.65</v>
      </c>
      <c r="H50" s="399">
        <v>598.08</v>
      </c>
      <c r="I50" s="399">
        <v>596.5</v>
      </c>
      <c r="J50" s="399">
        <v>609.43</v>
      </c>
      <c r="K50" s="399"/>
      <c r="L50" s="399">
        <v>629.97</v>
      </c>
      <c r="M50" s="399">
        <v>630</v>
      </c>
      <c r="N50" s="399">
        <v>629.45</v>
      </c>
      <c r="O50" s="399">
        <v>627.95</v>
      </c>
      <c r="P50" s="399">
        <v>624.23</v>
      </c>
      <c r="Q50" s="399">
        <v>622.52</v>
      </c>
      <c r="R50" s="112"/>
      <c r="S50" s="179"/>
      <c r="T50" s="116"/>
      <c r="U50" s="40"/>
      <c r="V50" s="40"/>
      <c r="W50" s="40"/>
      <c r="X50" s="40"/>
    </row>
    <row r="51" spans="1:24" ht="15.75">
      <c r="A51" s="36"/>
      <c r="B51" s="108"/>
      <c r="D51" s="136" t="s">
        <v>563</v>
      </c>
      <c r="E51" s="109"/>
      <c r="F51" s="152">
        <v>619.04</v>
      </c>
      <c r="G51" s="399">
        <v>612.33</v>
      </c>
      <c r="H51" s="399">
        <v>606.62</v>
      </c>
      <c r="I51" s="399">
        <v>599.47</v>
      </c>
      <c r="J51" s="399">
        <v>622.43</v>
      </c>
      <c r="K51" s="399"/>
      <c r="L51" s="399"/>
      <c r="M51" s="399"/>
      <c r="N51" s="399"/>
      <c r="O51" s="399"/>
      <c r="P51" s="399"/>
      <c r="Q51" s="399"/>
      <c r="R51" s="114"/>
      <c r="S51" s="180"/>
      <c r="T51" s="113"/>
      <c r="U51" s="40"/>
      <c r="V51" s="40"/>
      <c r="W51" s="40"/>
      <c r="X51" s="40"/>
    </row>
    <row r="52" spans="1:24" ht="15.75">
      <c r="A52" s="36"/>
      <c r="B52" s="108"/>
      <c r="D52" s="136" t="s">
        <v>685</v>
      </c>
      <c r="E52" s="109"/>
      <c r="F52" s="152"/>
      <c r="G52" s="399"/>
      <c r="H52" s="399"/>
      <c r="I52" s="399"/>
      <c r="J52" s="399"/>
      <c r="K52" s="399"/>
      <c r="L52" s="399"/>
      <c r="M52" s="399"/>
      <c r="N52" s="399"/>
      <c r="O52" s="399"/>
      <c r="P52" s="399"/>
      <c r="Q52" s="399"/>
      <c r="R52" s="114"/>
      <c r="S52" s="180"/>
      <c r="T52" s="113"/>
      <c r="U52" s="40"/>
      <c r="V52" s="40"/>
      <c r="W52" s="40"/>
      <c r="X52" s="40"/>
    </row>
    <row r="53" spans="1:24" ht="15.75">
      <c r="A53" s="36"/>
      <c r="B53" s="108"/>
      <c r="D53" s="136"/>
      <c r="E53" s="109"/>
      <c r="F53" s="152"/>
      <c r="G53" s="399"/>
      <c r="H53" s="399"/>
      <c r="I53" s="399"/>
      <c r="J53" s="399"/>
      <c r="K53" s="399"/>
      <c r="L53" s="399"/>
      <c r="M53" s="399"/>
      <c r="N53" s="399"/>
      <c r="O53" s="399"/>
      <c r="P53" s="399"/>
      <c r="Q53" s="399"/>
      <c r="R53" s="114"/>
      <c r="S53" s="180"/>
      <c r="T53" s="113"/>
      <c r="U53" s="40"/>
      <c r="V53" s="40"/>
      <c r="W53" s="40"/>
      <c r="X53" s="40"/>
    </row>
    <row r="54" spans="1:24" ht="15.75">
      <c r="A54" s="36"/>
      <c r="B54" s="108" t="s">
        <v>15</v>
      </c>
      <c r="D54" s="136" t="s">
        <v>562</v>
      </c>
      <c r="E54" s="109" t="s">
        <v>482</v>
      </c>
      <c r="F54" s="152"/>
      <c r="G54" s="399"/>
      <c r="H54" s="399"/>
      <c r="I54" s="399"/>
      <c r="J54" s="399"/>
      <c r="K54" s="399"/>
      <c r="L54" s="399"/>
      <c r="M54" s="399"/>
      <c r="N54" s="399"/>
      <c r="O54" s="399"/>
      <c r="P54" s="399"/>
      <c r="Q54" s="399"/>
      <c r="R54" s="114"/>
      <c r="S54" s="180"/>
      <c r="T54" s="113"/>
      <c r="U54" s="40"/>
      <c r="V54" s="40"/>
      <c r="W54" s="40"/>
      <c r="X54" s="40"/>
    </row>
    <row r="55" spans="1:24" ht="15.75">
      <c r="A55" s="36"/>
      <c r="B55" s="108"/>
      <c r="D55" s="136" t="s">
        <v>563</v>
      </c>
      <c r="E55" s="109"/>
      <c r="F55" s="152"/>
      <c r="G55" s="399"/>
      <c r="H55" s="399"/>
      <c r="I55" s="399"/>
      <c r="J55" s="399"/>
      <c r="K55" s="399"/>
      <c r="L55" s="399"/>
      <c r="M55" s="399"/>
      <c r="N55" s="399"/>
      <c r="O55" s="399"/>
      <c r="P55" s="399"/>
      <c r="Q55" s="399"/>
      <c r="R55" s="114"/>
      <c r="S55" s="180"/>
      <c r="T55" s="113"/>
      <c r="U55" s="40"/>
      <c r="V55" s="40"/>
      <c r="W55" s="40"/>
      <c r="X55" s="40"/>
    </row>
    <row r="56" spans="1:24" ht="15.75">
      <c r="A56" s="36"/>
      <c r="B56" s="108"/>
      <c r="D56" s="136" t="s">
        <v>685</v>
      </c>
      <c r="E56" s="109"/>
      <c r="F56" s="152"/>
      <c r="G56" s="399"/>
      <c r="H56" s="399"/>
      <c r="I56" s="399"/>
      <c r="J56" s="399"/>
      <c r="K56" s="399"/>
      <c r="L56" s="399"/>
      <c r="M56" s="399"/>
      <c r="N56" s="399"/>
      <c r="O56" s="399"/>
      <c r="P56" s="399"/>
      <c r="Q56" s="399"/>
      <c r="R56" s="114"/>
      <c r="S56" s="180"/>
      <c r="T56" s="113"/>
      <c r="U56" s="40"/>
      <c r="V56" s="40"/>
      <c r="W56" s="40"/>
      <c r="X56" s="40"/>
    </row>
    <row r="57" spans="1:24" ht="15.75">
      <c r="A57" s="36"/>
      <c r="B57" s="108"/>
      <c r="D57" s="136"/>
      <c r="E57" s="109"/>
      <c r="F57" s="152"/>
      <c r="G57" s="399"/>
      <c r="H57" s="399"/>
      <c r="I57" s="399"/>
      <c r="J57" s="399"/>
      <c r="K57" s="399"/>
      <c r="L57" s="399"/>
      <c r="M57" s="399"/>
      <c r="N57" s="399"/>
      <c r="O57" s="399"/>
      <c r="P57" s="399"/>
      <c r="Q57" s="399"/>
      <c r="R57" s="114"/>
      <c r="S57" s="180"/>
      <c r="T57" s="113"/>
      <c r="U57" s="40"/>
      <c r="V57" s="40"/>
      <c r="W57" s="40"/>
      <c r="X57" s="40"/>
    </row>
    <row r="58" spans="1:24" ht="15.75">
      <c r="A58" s="36"/>
      <c r="B58" s="108" t="s">
        <v>384</v>
      </c>
      <c r="D58" s="136" t="s">
        <v>562</v>
      </c>
      <c r="E58" s="109" t="s">
        <v>482</v>
      </c>
      <c r="F58" s="156">
        <v>614.93</v>
      </c>
      <c r="G58" s="399">
        <v>1486.2</v>
      </c>
      <c r="H58" s="399">
        <v>1482</v>
      </c>
      <c r="I58" s="399">
        <v>1477.9</v>
      </c>
      <c r="J58" s="399">
        <v>1495.7</v>
      </c>
      <c r="K58" s="399"/>
      <c r="L58" s="399">
        <v>1512.7</v>
      </c>
      <c r="M58" s="399">
        <v>1516.6</v>
      </c>
      <c r="N58" s="399">
        <v>1513.9</v>
      </c>
      <c r="O58" s="399">
        <v>1510.4</v>
      </c>
      <c r="P58" s="399">
        <v>1504.4</v>
      </c>
      <c r="Q58" s="399">
        <v>1503.5</v>
      </c>
      <c r="R58" s="12"/>
      <c r="S58" s="181"/>
      <c r="T58" s="12"/>
      <c r="U58" s="40"/>
      <c r="V58" s="40"/>
      <c r="W58" s="40"/>
      <c r="X58" s="40"/>
    </row>
    <row r="59" spans="1:24" ht="15.75">
      <c r="A59" s="36"/>
      <c r="B59" s="108"/>
      <c r="D59" s="136" t="s">
        <v>563</v>
      </c>
      <c r="E59" s="109"/>
      <c r="F59" s="152">
        <v>619.04</v>
      </c>
      <c r="G59" s="399">
        <v>1491.7</v>
      </c>
      <c r="H59" s="399">
        <v>1487.9</v>
      </c>
      <c r="I59" s="399">
        <v>1487.9</v>
      </c>
      <c r="J59" s="399">
        <v>1489.3</v>
      </c>
      <c r="K59" s="399"/>
      <c r="L59" s="399"/>
      <c r="M59" s="399"/>
      <c r="N59" s="399"/>
      <c r="O59" s="399"/>
      <c r="P59" s="399"/>
      <c r="Q59" s="399"/>
      <c r="R59" s="114"/>
      <c r="S59" s="180"/>
      <c r="T59" s="113"/>
      <c r="U59" s="40"/>
      <c r="V59" s="40"/>
      <c r="W59" s="40"/>
      <c r="X59" s="40"/>
    </row>
    <row r="60" spans="1:24" ht="15.75">
      <c r="A60" s="36"/>
      <c r="B60" s="108"/>
      <c r="D60" s="136" t="s">
        <v>685</v>
      </c>
      <c r="E60" s="109"/>
      <c r="F60" s="152"/>
      <c r="G60" s="399"/>
      <c r="H60" s="399"/>
      <c r="I60" s="399"/>
      <c r="J60" s="399"/>
      <c r="K60" s="399"/>
      <c r="L60" s="399"/>
      <c r="M60" s="399"/>
      <c r="N60" s="399"/>
      <c r="O60" s="399"/>
      <c r="P60" s="399"/>
      <c r="Q60" s="399"/>
      <c r="R60" s="114"/>
      <c r="S60" s="180"/>
      <c r="T60" s="113"/>
      <c r="U60" s="40"/>
      <c r="V60" s="40"/>
      <c r="W60" s="40"/>
      <c r="X60" s="40"/>
    </row>
    <row r="61" spans="1:24" ht="15.75">
      <c r="A61" s="36"/>
      <c r="B61" s="108"/>
      <c r="D61" s="136"/>
      <c r="E61" s="109"/>
      <c r="F61" s="152"/>
      <c r="G61" s="399"/>
      <c r="H61" s="399"/>
      <c r="I61" s="399"/>
      <c r="J61" s="399"/>
      <c r="K61" s="399"/>
      <c r="L61" s="399"/>
      <c r="M61" s="399"/>
      <c r="N61" s="399"/>
      <c r="O61" s="399"/>
      <c r="P61" s="399"/>
      <c r="Q61" s="399"/>
      <c r="R61" s="114"/>
      <c r="S61" s="180"/>
      <c r="T61" s="113"/>
      <c r="U61" s="40"/>
      <c r="V61" s="40"/>
      <c r="W61" s="40"/>
      <c r="X61" s="40"/>
    </row>
    <row r="62" spans="1:24" ht="15.75">
      <c r="A62" s="36"/>
      <c r="B62" s="108"/>
      <c r="D62" s="136"/>
      <c r="E62" s="109"/>
      <c r="F62" s="152"/>
      <c r="G62" s="399"/>
      <c r="H62" s="399"/>
      <c r="I62" s="399"/>
      <c r="J62" s="399"/>
      <c r="K62" s="399"/>
      <c r="L62" s="399"/>
      <c r="M62" s="399"/>
      <c r="N62" s="399"/>
      <c r="O62" s="399"/>
      <c r="P62" s="399"/>
      <c r="Q62" s="399"/>
      <c r="R62" s="114"/>
      <c r="S62" s="180"/>
      <c r="T62" s="113"/>
      <c r="U62" s="40"/>
      <c r="V62" s="40"/>
      <c r="W62" s="40"/>
      <c r="X62" s="40"/>
    </row>
    <row r="63" spans="1:24" ht="15.75">
      <c r="A63" s="36"/>
      <c r="B63" s="108" t="s">
        <v>393</v>
      </c>
      <c r="D63" s="136" t="s">
        <v>562</v>
      </c>
      <c r="E63" s="66" t="s">
        <v>435</v>
      </c>
      <c r="F63" s="156">
        <v>854.29</v>
      </c>
      <c r="G63" s="399">
        <v>862.94</v>
      </c>
      <c r="H63" s="399">
        <v>849.76</v>
      </c>
      <c r="I63" s="399">
        <v>849.79</v>
      </c>
      <c r="J63" s="399">
        <v>851.21</v>
      </c>
      <c r="K63" s="399"/>
      <c r="L63" s="399">
        <v>855.19</v>
      </c>
      <c r="M63" s="399">
        <v>856.54</v>
      </c>
      <c r="N63" s="399">
        <v>856.4</v>
      </c>
      <c r="O63" s="399">
        <v>855.92</v>
      </c>
      <c r="P63" s="399">
        <v>854.68</v>
      </c>
      <c r="Q63" s="399">
        <v>854.24</v>
      </c>
      <c r="R63" s="12"/>
      <c r="S63" s="181"/>
      <c r="T63" s="12"/>
      <c r="U63" s="40"/>
      <c r="V63" s="40"/>
      <c r="W63" s="40"/>
      <c r="X63" s="40"/>
    </row>
    <row r="64" spans="1:24" ht="15.75">
      <c r="A64" s="36"/>
      <c r="B64" s="108"/>
      <c r="D64" s="136" t="s">
        <v>563</v>
      </c>
      <c r="E64" s="109"/>
      <c r="F64" s="152">
        <v>853.16</v>
      </c>
      <c r="G64" s="399">
        <v>861.34</v>
      </c>
      <c r="H64" s="399">
        <v>849.75</v>
      </c>
      <c r="I64" s="399">
        <v>847.82</v>
      </c>
      <c r="J64" s="399">
        <v>851.23</v>
      </c>
      <c r="K64" s="399"/>
      <c r="L64" s="399"/>
      <c r="M64" s="399"/>
      <c r="N64" s="399"/>
      <c r="O64" s="399"/>
      <c r="P64" s="399"/>
      <c r="Q64" s="399"/>
      <c r="R64" s="114"/>
      <c r="S64" s="180"/>
      <c r="T64" s="113"/>
      <c r="U64" s="40"/>
      <c r="V64" s="40"/>
      <c r="W64" s="40"/>
      <c r="X64" s="40"/>
    </row>
    <row r="65" spans="1:24" ht="15.75">
      <c r="A65" s="36"/>
      <c r="B65" s="108"/>
      <c r="D65" s="136" t="s">
        <v>685</v>
      </c>
      <c r="E65" s="109"/>
      <c r="F65" s="152"/>
      <c r="G65" s="399"/>
      <c r="H65" s="399"/>
      <c r="I65" s="399"/>
      <c r="J65" s="399"/>
      <c r="K65" s="399"/>
      <c r="L65" s="399"/>
      <c r="M65" s="399"/>
      <c r="N65" s="399"/>
      <c r="O65" s="399"/>
      <c r="P65" s="399"/>
      <c r="Q65" s="399"/>
      <c r="R65" s="114"/>
      <c r="S65" s="180"/>
      <c r="T65" s="113"/>
      <c r="U65" s="40"/>
      <c r="V65" s="40"/>
      <c r="W65" s="40"/>
      <c r="X65" s="40"/>
    </row>
    <row r="66" spans="1:24" ht="15.75">
      <c r="A66" s="36"/>
      <c r="B66" s="108"/>
      <c r="D66" s="136"/>
      <c r="E66" s="109"/>
      <c r="F66" s="152"/>
      <c r="G66" s="399"/>
      <c r="H66" s="399"/>
      <c r="I66" s="399"/>
      <c r="J66" s="399"/>
      <c r="K66" s="399"/>
      <c r="L66" s="399"/>
      <c r="M66" s="399"/>
      <c r="N66" s="399"/>
      <c r="O66" s="399"/>
      <c r="P66" s="399"/>
      <c r="Q66" s="399"/>
      <c r="R66" s="114"/>
      <c r="S66" s="180"/>
      <c r="T66" s="113"/>
      <c r="U66" s="40"/>
      <c r="V66" s="40"/>
      <c r="W66" s="40"/>
      <c r="X66" s="40"/>
    </row>
    <row r="67" spans="1:24" ht="15.75">
      <c r="A67" s="36"/>
      <c r="B67" s="108"/>
      <c r="D67" s="136"/>
      <c r="E67" s="109"/>
      <c r="F67" s="152"/>
      <c r="G67" s="399"/>
      <c r="H67" s="399"/>
      <c r="I67" s="399"/>
      <c r="J67" s="399"/>
      <c r="K67" s="399"/>
      <c r="L67" s="399"/>
      <c r="M67" s="399"/>
      <c r="N67" s="399"/>
      <c r="O67" s="399"/>
      <c r="P67" s="399"/>
      <c r="Q67" s="399"/>
      <c r="R67" s="114"/>
      <c r="S67" s="180"/>
      <c r="T67" s="113"/>
      <c r="U67" s="40"/>
      <c r="V67" s="40"/>
      <c r="W67" s="40"/>
      <c r="X67" s="40"/>
    </row>
    <row r="68" spans="1:24" ht="15.75">
      <c r="A68" s="36"/>
      <c r="B68" s="108" t="s">
        <v>385</v>
      </c>
      <c r="D68" s="136" t="s">
        <v>562</v>
      </c>
      <c r="E68" s="66" t="s">
        <v>435</v>
      </c>
      <c r="F68" s="156">
        <v>119.88</v>
      </c>
      <c r="G68" s="399">
        <v>115.85</v>
      </c>
      <c r="H68" s="399">
        <v>111.46</v>
      </c>
      <c r="I68" s="399">
        <v>109.9</v>
      </c>
      <c r="J68" s="399">
        <v>115.96</v>
      </c>
      <c r="K68" s="399"/>
      <c r="L68" s="399">
        <v>121.85</v>
      </c>
      <c r="M68" s="399">
        <v>123.84</v>
      </c>
      <c r="N68" s="399">
        <v>123.1</v>
      </c>
      <c r="O68" s="399">
        <v>122.35</v>
      </c>
      <c r="P68" s="399">
        <v>122.12</v>
      </c>
      <c r="Q68" s="399">
        <v>121.7</v>
      </c>
      <c r="R68" s="12"/>
      <c r="S68" s="181"/>
      <c r="T68" s="12"/>
      <c r="U68" s="40"/>
      <c r="V68" s="40"/>
      <c r="W68" s="40"/>
      <c r="X68" s="40"/>
    </row>
    <row r="69" spans="1:24" ht="15.75">
      <c r="A69" s="36"/>
      <c r="B69" s="108"/>
      <c r="D69" s="136" t="s">
        <v>563</v>
      </c>
      <c r="E69" s="109"/>
      <c r="F69" s="156">
        <v>121.1</v>
      </c>
      <c r="G69" s="399">
        <v>118.42</v>
      </c>
      <c r="H69" s="399">
        <v>115.33</v>
      </c>
      <c r="I69" s="399">
        <v>110.87</v>
      </c>
      <c r="J69" s="399">
        <v>116.77</v>
      </c>
      <c r="K69" s="399"/>
      <c r="L69" s="399"/>
      <c r="M69" s="399"/>
      <c r="N69" s="399"/>
      <c r="O69" s="399"/>
      <c r="P69" s="399"/>
      <c r="Q69" s="399"/>
      <c r="R69" s="12"/>
      <c r="S69" s="181"/>
      <c r="T69" s="12"/>
      <c r="U69" s="40"/>
      <c r="V69" s="40"/>
      <c r="W69" s="40"/>
      <c r="X69" s="40"/>
    </row>
    <row r="70" spans="1:24" ht="15.75">
      <c r="A70" s="36"/>
      <c r="B70" s="108"/>
      <c r="D70" s="136" t="s">
        <v>685</v>
      </c>
      <c r="E70" s="109"/>
      <c r="F70" s="156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2"/>
      <c r="S70" s="181"/>
      <c r="T70" s="12"/>
      <c r="U70" s="40"/>
      <c r="V70" s="40"/>
      <c r="W70" s="40"/>
      <c r="X70" s="40"/>
    </row>
    <row r="71" spans="1:24" ht="15.75">
      <c r="A71" s="36"/>
      <c r="B71" s="108"/>
      <c r="D71" s="136"/>
      <c r="E71" s="109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2"/>
      <c r="S71" s="181"/>
      <c r="T71" s="12"/>
      <c r="U71" s="40"/>
      <c r="V71" s="40"/>
      <c r="W71" s="40"/>
      <c r="X71" s="40"/>
    </row>
    <row r="72" spans="1:24" ht="15.75">
      <c r="A72" s="36"/>
      <c r="B72" s="108" t="s">
        <v>394</v>
      </c>
      <c r="D72" s="136" t="s">
        <v>562</v>
      </c>
      <c r="E72" s="66" t="s">
        <v>435</v>
      </c>
      <c r="F72" s="156">
        <v>635.21</v>
      </c>
      <c r="G72" s="156">
        <v>632.35</v>
      </c>
      <c r="H72" s="156">
        <v>628.58</v>
      </c>
      <c r="I72" s="156">
        <v>632.77</v>
      </c>
      <c r="J72" s="156">
        <v>635.15</v>
      </c>
      <c r="K72" s="156"/>
      <c r="L72" s="156">
        <v>640.6</v>
      </c>
      <c r="M72" s="156">
        <v>641.5</v>
      </c>
      <c r="N72" s="156">
        <v>641.69</v>
      </c>
      <c r="O72" s="156">
        <v>642.01</v>
      </c>
      <c r="P72" s="156">
        <v>640.59</v>
      </c>
      <c r="Q72" s="156">
        <v>639.7</v>
      </c>
      <c r="R72" s="12"/>
      <c r="S72" s="181"/>
      <c r="T72" s="12"/>
      <c r="U72" s="40"/>
      <c r="V72" s="40"/>
      <c r="W72" s="40"/>
      <c r="X72" s="40"/>
    </row>
    <row r="73" spans="1:24" ht="15.75">
      <c r="A73" s="36"/>
      <c r="B73" s="108"/>
      <c r="D73" s="136" t="s">
        <v>563</v>
      </c>
      <c r="E73" s="109"/>
      <c r="F73" s="156">
        <v>637.55</v>
      </c>
      <c r="G73" s="156">
        <v>633.83</v>
      </c>
      <c r="H73" s="156">
        <v>630.52</v>
      </c>
      <c r="I73" s="156">
        <v>628</v>
      </c>
      <c r="J73" s="156">
        <v>636.12</v>
      </c>
      <c r="K73" s="156"/>
      <c r="L73" s="156"/>
      <c r="M73" s="156"/>
      <c r="N73" s="156"/>
      <c r="O73" s="156"/>
      <c r="P73" s="156"/>
      <c r="Q73" s="156"/>
      <c r="R73" s="12"/>
      <c r="S73" s="181"/>
      <c r="T73" s="12"/>
      <c r="U73" s="40"/>
      <c r="V73" s="40"/>
      <c r="W73" s="40"/>
      <c r="X73" s="40"/>
    </row>
    <row r="74" spans="1:24" ht="15.75">
      <c r="A74" s="36"/>
      <c r="B74" s="108"/>
      <c r="D74" s="136" t="s">
        <v>685</v>
      </c>
      <c r="E74" s="109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2"/>
      <c r="S74" s="181"/>
      <c r="T74" s="12"/>
      <c r="U74" s="40"/>
      <c r="V74" s="40"/>
      <c r="W74" s="40"/>
      <c r="X74" s="40"/>
    </row>
    <row r="75" spans="1:24" ht="15.75">
      <c r="A75" s="36"/>
      <c r="B75" s="108"/>
      <c r="D75" s="136"/>
      <c r="E75" s="109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2"/>
      <c r="S75" s="181"/>
      <c r="T75" s="12"/>
      <c r="U75" s="40"/>
      <c r="V75" s="40"/>
      <c r="W75" s="40"/>
      <c r="X75" s="40"/>
    </row>
    <row r="76" spans="1:24" ht="15.75">
      <c r="A76" s="36"/>
      <c r="B76" s="108" t="s">
        <v>429</v>
      </c>
      <c r="D76" s="136" t="s">
        <v>562</v>
      </c>
      <c r="E76" s="66" t="s">
        <v>435</v>
      </c>
      <c r="F76" s="158">
        <v>2730.66</v>
      </c>
      <c r="G76" s="158">
        <v>2722.7</v>
      </c>
      <c r="H76" s="158">
        <v>2710.8</v>
      </c>
      <c r="I76" s="158">
        <v>2710.1</v>
      </c>
      <c r="J76" s="158">
        <v>2729.2</v>
      </c>
      <c r="K76" s="158"/>
      <c r="L76" s="158">
        <v>2747.2</v>
      </c>
      <c r="M76" s="158">
        <v>2748.55</v>
      </c>
      <c r="N76" s="158">
        <v>2748.4</v>
      </c>
      <c r="O76" s="158">
        <v>2764.45</v>
      </c>
      <c r="P76" s="158">
        <v>2742.1</v>
      </c>
      <c r="Q76" s="158">
        <v>2740.7</v>
      </c>
      <c r="R76" s="12"/>
      <c r="S76" s="181"/>
      <c r="T76" s="12"/>
      <c r="U76" s="40"/>
      <c r="V76" s="40"/>
      <c r="W76" s="40"/>
      <c r="X76" s="40"/>
    </row>
    <row r="77" spans="1:24" ht="15.75">
      <c r="A77" s="36"/>
      <c r="B77" s="108"/>
      <c r="D77" s="136" t="s">
        <v>563</v>
      </c>
      <c r="E77" s="109"/>
      <c r="F77" s="113">
        <v>2738.35</v>
      </c>
      <c r="G77" s="113">
        <v>2730.3</v>
      </c>
      <c r="H77" s="113">
        <v>2726.8</v>
      </c>
      <c r="I77" s="113">
        <v>2720</v>
      </c>
      <c r="J77" s="113">
        <v>2723.2</v>
      </c>
      <c r="K77" s="113"/>
      <c r="L77" s="113"/>
      <c r="M77" s="113"/>
      <c r="N77" s="113"/>
      <c r="O77" s="113"/>
      <c r="P77" s="113"/>
      <c r="Q77" s="113"/>
      <c r="R77" s="114"/>
      <c r="S77" s="180"/>
      <c r="T77" s="113"/>
      <c r="U77" s="40"/>
      <c r="V77" s="40"/>
      <c r="W77" s="40"/>
      <c r="X77" s="40"/>
    </row>
    <row r="78" spans="1:24" ht="15.75">
      <c r="A78" s="36"/>
      <c r="B78" s="108"/>
      <c r="D78" s="136" t="s">
        <v>685</v>
      </c>
      <c r="E78" s="109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4"/>
      <c r="S78" s="180"/>
      <c r="T78" s="113"/>
      <c r="U78" s="40"/>
      <c r="V78" s="40"/>
      <c r="W78" s="40"/>
      <c r="X78" s="40"/>
    </row>
    <row r="79" spans="1:24" ht="15.75">
      <c r="A79" s="36"/>
      <c r="B79" s="108"/>
      <c r="D79" s="136"/>
      <c r="E79" s="109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4"/>
      <c r="S79" s="180"/>
      <c r="T79" s="113"/>
      <c r="U79" s="40"/>
      <c r="V79" s="40"/>
      <c r="W79" s="40"/>
      <c r="X79" s="40"/>
    </row>
    <row r="80" spans="1:24" s="41" customFormat="1" ht="31.5">
      <c r="A80" s="42"/>
      <c r="B80" s="108" t="s">
        <v>433</v>
      </c>
      <c r="C80" s="60"/>
      <c r="D80" s="136"/>
      <c r="E80" s="109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4"/>
      <c r="S80" s="180"/>
      <c r="T80" s="113"/>
      <c r="U80" s="11"/>
      <c r="V80" s="11"/>
      <c r="W80" s="11"/>
      <c r="X80" s="11"/>
    </row>
    <row r="81" spans="1:24" ht="15.75">
      <c r="A81" s="36">
        <v>8</v>
      </c>
      <c r="B81" s="108" t="s">
        <v>395</v>
      </c>
      <c r="D81" s="136"/>
      <c r="E81" s="109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81"/>
      <c r="T81" s="12"/>
      <c r="U81" s="40"/>
      <c r="V81" s="40"/>
      <c r="W81" s="40"/>
      <c r="X81" s="40"/>
    </row>
    <row r="82" spans="1:24" ht="15.75">
      <c r="A82" s="36"/>
      <c r="B82" s="108" t="s">
        <v>428</v>
      </c>
      <c r="D82" s="136" t="s">
        <v>562</v>
      </c>
      <c r="E82" s="109" t="s">
        <v>367</v>
      </c>
      <c r="F82" s="113">
        <v>209.251</v>
      </c>
      <c r="G82" s="113">
        <v>233.16</v>
      </c>
      <c r="H82" s="113">
        <v>224.588</v>
      </c>
      <c r="I82" s="113">
        <v>88.759</v>
      </c>
      <c r="J82" s="113">
        <v>206.209</v>
      </c>
      <c r="K82" s="113">
        <v>120.242</v>
      </c>
      <c r="L82" s="111">
        <v>181.135</v>
      </c>
      <c r="M82" s="111">
        <v>262.922</v>
      </c>
      <c r="N82" s="111">
        <v>250.005</v>
      </c>
      <c r="O82" s="111">
        <v>266.016</v>
      </c>
      <c r="P82" s="111">
        <v>244.366</v>
      </c>
      <c r="Q82" s="111">
        <v>258.188</v>
      </c>
      <c r="R82" s="145">
        <f>SUM(F82:Q82)</f>
        <v>2544.8410000000003</v>
      </c>
      <c r="S82" s="161">
        <f>R82/12</f>
        <v>212.07008333333337</v>
      </c>
      <c r="T82" s="145">
        <f>MAX(F82:Q82)</f>
        <v>266.016</v>
      </c>
      <c r="U82" s="40"/>
      <c r="V82" s="40"/>
      <c r="W82" s="40"/>
      <c r="X82" s="40"/>
    </row>
    <row r="83" spans="1:24" ht="15.75">
      <c r="A83" s="36"/>
      <c r="B83" s="108"/>
      <c r="D83" s="136" t="s">
        <v>563</v>
      </c>
      <c r="E83" s="109"/>
      <c r="F83" s="113">
        <v>247.269</v>
      </c>
      <c r="G83" s="113">
        <v>257.326</v>
      </c>
      <c r="H83" s="113">
        <v>234.766</v>
      </c>
      <c r="I83" s="113">
        <v>257.459</v>
      </c>
      <c r="J83" s="113">
        <v>245.346</v>
      </c>
      <c r="K83" s="113">
        <v>99.081</v>
      </c>
      <c r="L83" s="113">
        <f aca="true" t="shared" si="6" ref="L83:Q83">1341.25/6</f>
        <v>223.54166666666666</v>
      </c>
      <c r="M83" s="113">
        <f t="shared" si="6"/>
        <v>223.54166666666666</v>
      </c>
      <c r="N83" s="113">
        <f t="shared" si="6"/>
        <v>223.54166666666666</v>
      </c>
      <c r="O83" s="113">
        <f t="shared" si="6"/>
        <v>223.54166666666666</v>
      </c>
      <c r="P83" s="113">
        <f t="shared" si="6"/>
        <v>223.54166666666666</v>
      </c>
      <c r="Q83" s="113">
        <f t="shared" si="6"/>
        <v>223.54166666666666</v>
      </c>
      <c r="R83" s="149">
        <f>SUM(F83:Q83)</f>
        <v>2682.497</v>
      </c>
      <c r="S83" s="173">
        <f>R83/12</f>
        <v>223.54141666666666</v>
      </c>
      <c r="T83" s="149">
        <f>MAX(F83:Q83)</f>
        <v>257.459</v>
      </c>
      <c r="U83" s="40"/>
      <c r="V83" s="40"/>
      <c r="W83" s="40"/>
      <c r="X83" s="40"/>
    </row>
    <row r="84" spans="1:24" ht="15.75">
      <c r="A84" s="36"/>
      <c r="B84" s="108"/>
      <c r="D84" s="136" t="s">
        <v>685</v>
      </c>
      <c r="E84" s="109"/>
      <c r="F84" s="113">
        <f>285*(1-0.095)</f>
        <v>257.925</v>
      </c>
      <c r="G84" s="113">
        <f>300*(1-0.095)</f>
        <v>271.5</v>
      </c>
      <c r="H84" s="113">
        <f>269.136*(1-0.095)</f>
        <v>243.56808000000004</v>
      </c>
      <c r="I84" s="113">
        <f>280*(1-0.095)</f>
        <v>253.4</v>
      </c>
      <c r="J84" s="113">
        <f>300*(1-0.095)</f>
        <v>271.5</v>
      </c>
      <c r="K84" s="113">
        <f>270*(1-0.095)</f>
        <v>244.35</v>
      </c>
      <c r="L84" s="113">
        <f>278.108*(1-0.095)</f>
        <v>251.68774000000002</v>
      </c>
      <c r="M84" s="113">
        <f>145*(1-0.095)</f>
        <v>131.225</v>
      </c>
      <c r="N84" s="113">
        <f>230.38*(1-0.095)</f>
        <v>208.4939</v>
      </c>
      <c r="O84" s="113">
        <f>300*(1-0.095)</f>
        <v>271.5</v>
      </c>
      <c r="P84" s="113">
        <f>200*(1-0.095)</f>
        <v>181</v>
      </c>
      <c r="Q84" s="113">
        <f>278.67*(1-0.095)</f>
        <v>252.19635000000002</v>
      </c>
      <c r="R84" s="149">
        <f>SUM(F84:Q84)</f>
        <v>2838.34607</v>
      </c>
      <c r="S84" s="173">
        <f>R84/12</f>
        <v>236.52883916666667</v>
      </c>
      <c r="T84" s="149">
        <f>MAX(F84:Q84)</f>
        <v>271.5</v>
      </c>
      <c r="U84" s="40"/>
      <c r="V84" s="40"/>
      <c r="W84" s="40"/>
      <c r="X84" s="40"/>
    </row>
    <row r="85" spans="1:24" ht="15.75">
      <c r="A85" s="36"/>
      <c r="B85" s="108"/>
      <c r="D85" s="136"/>
      <c r="E85" s="10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13"/>
      <c r="T85" s="9"/>
      <c r="U85" s="40"/>
      <c r="V85" s="40"/>
      <c r="W85" s="40"/>
      <c r="X85" s="40"/>
    </row>
    <row r="86" spans="1:24" ht="31.5">
      <c r="A86" s="36"/>
      <c r="B86" s="108" t="s">
        <v>18</v>
      </c>
      <c r="D86" s="136" t="s">
        <v>562</v>
      </c>
      <c r="E86" s="109" t="s">
        <v>372</v>
      </c>
      <c r="F86" s="116">
        <f>(F82/(1-9.5%))/(0.42*24*F$10)*100</f>
        <v>76.46050746879477</v>
      </c>
      <c r="G86" s="116">
        <f aca="true" t="shared" si="7" ref="G86:Q86">(G82/(1-9.5%))/(0.42*24*G$10)*100</f>
        <v>82.44859162699119</v>
      </c>
      <c r="H86" s="116">
        <f t="shared" si="7"/>
        <v>82.0646613464293</v>
      </c>
      <c r="I86" s="116">
        <f t="shared" si="7"/>
        <v>31.386406520072534</v>
      </c>
      <c r="J86" s="116">
        <f t="shared" si="7"/>
        <v>72.9183463321763</v>
      </c>
      <c r="K86" s="116">
        <f t="shared" si="7"/>
        <v>43.93653716858137</v>
      </c>
      <c r="L86" s="116">
        <f t="shared" si="7"/>
        <v>64.05183412401377</v>
      </c>
      <c r="M86" s="116">
        <f t="shared" si="7"/>
        <v>96.07194013271364</v>
      </c>
      <c r="N86" s="116">
        <f t="shared" si="7"/>
        <v>88.40521594487018</v>
      </c>
      <c r="O86" s="116">
        <f t="shared" si="7"/>
        <v>94.06692636063514</v>
      </c>
      <c r="P86" s="116">
        <f t="shared" si="7"/>
        <v>95.66952932185767</v>
      </c>
      <c r="Q86" s="116">
        <f t="shared" si="7"/>
        <v>91.29883760074455</v>
      </c>
      <c r="R86" s="116"/>
      <c r="S86" s="182"/>
      <c r="T86" s="112"/>
      <c r="U86" s="40"/>
      <c r="V86" s="40"/>
      <c r="W86" s="40"/>
      <c r="X86" s="40"/>
    </row>
    <row r="87" spans="1:24" ht="15.75">
      <c r="A87" s="36"/>
      <c r="B87" s="108"/>
      <c r="D87" s="136" t="s">
        <v>563</v>
      </c>
      <c r="E87" s="109"/>
      <c r="F87" s="116">
        <f>(F83/(1-9.5%))/(0.42*24*F$10)*100</f>
        <v>90.35231956502675</v>
      </c>
      <c r="G87" s="116">
        <f aca="true" t="shared" si="8" ref="G87:Q87">(G83/(1-9.5%))/(0.42*24*G$10)*100</f>
        <v>90.99402251246843</v>
      </c>
      <c r="H87" s="116">
        <f t="shared" si="8"/>
        <v>85.78371188868427</v>
      </c>
      <c r="I87" s="116">
        <f t="shared" si="8"/>
        <v>91.04105314673839</v>
      </c>
      <c r="J87" s="116">
        <f t="shared" si="8"/>
        <v>86.75772929025469</v>
      </c>
      <c r="K87" s="116">
        <f t="shared" si="8"/>
        <v>36.20428834517232</v>
      </c>
      <c r="L87" s="116">
        <f t="shared" si="8"/>
        <v>79.04741630904523</v>
      </c>
      <c r="M87" s="116">
        <f t="shared" si="8"/>
        <v>81.68233018601343</v>
      </c>
      <c r="N87" s="116">
        <f t="shared" si="8"/>
        <v>79.04741630904523</v>
      </c>
      <c r="O87" s="116">
        <f t="shared" si="8"/>
        <v>79.04741630904523</v>
      </c>
      <c r="P87" s="116">
        <f t="shared" si="8"/>
        <v>87.51678234215723</v>
      </c>
      <c r="Q87" s="116">
        <f t="shared" si="8"/>
        <v>79.04741630904523</v>
      </c>
      <c r="R87" s="116"/>
      <c r="S87" s="182"/>
      <c r="T87" s="112"/>
      <c r="U87" s="40"/>
      <c r="V87" s="40"/>
      <c r="W87" s="40"/>
      <c r="X87" s="40"/>
    </row>
    <row r="88" spans="1:24" ht="15.75">
      <c r="A88" s="36"/>
      <c r="B88" s="108"/>
      <c r="D88" s="136" t="s">
        <v>685</v>
      </c>
      <c r="E88" s="109"/>
      <c r="F88" s="116">
        <f>(F84/(1-9.5%))/(0.42*24*F$10)*100</f>
        <v>94.24603174603176</v>
      </c>
      <c r="G88" s="116">
        <f aca="true" t="shared" si="9" ref="G88:Q88">(G84/(1-9.5%))/(0.42*24*G$10)*100</f>
        <v>96.00614439324117</v>
      </c>
      <c r="H88" s="116">
        <f t="shared" si="9"/>
        <v>89.00000000000001</v>
      </c>
      <c r="I88" s="116">
        <f t="shared" si="9"/>
        <v>89.60573476702508</v>
      </c>
      <c r="J88" s="116">
        <f t="shared" si="9"/>
        <v>96.00614439324117</v>
      </c>
      <c r="K88" s="116">
        <f t="shared" si="9"/>
        <v>89.28571428571429</v>
      </c>
      <c r="L88" s="116">
        <f t="shared" si="9"/>
        <v>89.00025601638505</v>
      </c>
      <c r="M88" s="116">
        <f t="shared" si="9"/>
        <v>47.949735449735456</v>
      </c>
      <c r="N88" s="116">
        <f t="shared" si="9"/>
        <v>73.72631848438299</v>
      </c>
      <c r="O88" s="116">
        <f t="shared" si="9"/>
        <v>96.00614439324117</v>
      </c>
      <c r="P88" s="116">
        <f t="shared" si="9"/>
        <v>70.86167800453515</v>
      </c>
      <c r="Q88" s="116">
        <f t="shared" si="9"/>
        <v>89.18010752688173</v>
      </c>
      <c r="R88" s="116"/>
      <c r="S88" s="182"/>
      <c r="T88" s="114"/>
      <c r="U88" s="40"/>
      <c r="V88" s="40"/>
      <c r="W88" s="40"/>
      <c r="X88" s="40"/>
    </row>
    <row r="89" spans="1:24" ht="15.75">
      <c r="A89" s="36"/>
      <c r="B89" s="108"/>
      <c r="D89" s="136"/>
      <c r="E89" s="10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13"/>
      <c r="T89" s="9"/>
      <c r="U89" s="40"/>
      <c r="V89" s="40"/>
      <c r="W89" s="40"/>
      <c r="X89" s="40"/>
    </row>
    <row r="90" spans="1:24" ht="15.75">
      <c r="A90" s="36">
        <v>9</v>
      </c>
      <c r="B90" s="108" t="s">
        <v>19</v>
      </c>
      <c r="D90" s="136"/>
      <c r="E90" s="10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13"/>
      <c r="T90" s="9"/>
      <c r="U90" s="40"/>
      <c r="V90" s="40"/>
      <c r="W90" s="40"/>
      <c r="X90" s="40"/>
    </row>
    <row r="91" spans="1:24" ht="15.75">
      <c r="A91" s="36"/>
      <c r="B91" s="108" t="s">
        <v>428</v>
      </c>
      <c r="D91" s="136" t="s">
        <v>562</v>
      </c>
      <c r="E91" s="109" t="s">
        <v>367</v>
      </c>
      <c r="F91" s="113">
        <v>239.857</v>
      </c>
      <c r="G91" s="113">
        <v>300.93</v>
      </c>
      <c r="H91" s="113">
        <v>296.72</v>
      </c>
      <c r="I91" s="113">
        <v>269.59</v>
      </c>
      <c r="J91" s="113">
        <v>231.579</v>
      </c>
      <c r="K91" s="113">
        <v>286.464</v>
      </c>
      <c r="L91" s="111">
        <v>286.778</v>
      </c>
      <c r="M91" s="111">
        <v>287.327</v>
      </c>
      <c r="N91" s="111">
        <v>307.316</v>
      </c>
      <c r="O91" s="111">
        <v>311.328</v>
      </c>
      <c r="P91" s="111">
        <v>277.121</v>
      </c>
      <c r="Q91" s="111">
        <v>311.487</v>
      </c>
      <c r="R91" s="145">
        <f>SUM(F91:Q91)</f>
        <v>3406.497</v>
      </c>
      <c r="S91" s="161">
        <f>R91/12</f>
        <v>283.87475</v>
      </c>
      <c r="T91" s="145">
        <f>MAX(F91:P91)</f>
        <v>311.328</v>
      </c>
      <c r="U91" s="40"/>
      <c r="V91" s="40"/>
      <c r="W91" s="40"/>
      <c r="X91" s="40"/>
    </row>
    <row r="92" spans="1:24" ht="15.75">
      <c r="A92" s="36"/>
      <c r="B92" s="108"/>
      <c r="D92" s="136" t="s">
        <v>563</v>
      </c>
      <c r="E92" s="109"/>
      <c r="F92" s="113">
        <v>295.617</v>
      </c>
      <c r="G92" s="113">
        <v>313.13</v>
      </c>
      <c r="H92" s="113">
        <v>283.041</v>
      </c>
      <c r="I92" s="113">
        <v>236.005</v>
      </c>
      <c r="J92" s="113">
        <v>271.613</v>
      </c>
      <c r="K92" s="113">
        <v>259.765</v>
      </c>
      <c r="L92" s="111">
        <f aca="true" t="shared" si="10" ref="L92:Q92">1659.17/6</f>
        <v>276.52833333333336</v>
      </c>
      <c r="M92" s="111">
        <f t="shared" si="10"/>
        <v>276.52833333333336</v>
      </c>
      <c r="N92" s="111">
        <f t="shared" si="10"/>
        <v>276.52833333333336</v>
      </c>
      <c r="O92" s="111">
        <f t="shared" si="10"/>
        <v>276.52833333333336</v>
      </c>
      <c r="P92" s="111">
        <f t="shared" si="10"/>
        <v>276.52833333333336</v>
      </c>
      <c r="Q92" s="111">
        <f t="shared" si="10"/>
        <v>276.52833333333336</v>
      </c>
      <c r="R92" s="149">
        <f>SUM(F92:Q92)</f>
        <v>3318.341</v>
      </c>
      <c r="S92" s="173">
        <f>R92/12</f>
        <v>276.52841666666666</v>
      </c>
      <c r="T92" s="149">
        <f>MAX(F92:Q92)</f>
        <v>313.13</v>
      </c>
      <c r="U92" s="40"/>
      <c r="V92" s="40"/>
      <c r="W92" s="40"/>
      <c r="X92" s="40"/>
    </row>
    <row r="93" spans="1:24" ht="15.75">
      <c r="A93" s="36"/>
      <c r="B93" s="108"/>
      <c r="D93" s="136" t="s">
        <v>685</v>
      </c>
      <c r="E93" s="109"/>
      <c r="F93" s="113">
        <f>307*(1-0.105)</f>
        <v>274.765</v>
      </c>
      <c r="G93" s="113">
        <f>317*(1-0.105)</f>
        <v>283.71500000000003</v>
      </c>
      <c r="H93" s="113">
        <f>321*(1-0.105)</f>
        <v>287.295</v>
      </c>
      <c r="I93" s="113">
        <f>272*(1-0.105)</f>
        <v>243.44</v>
      </c>
      <c r="J93" s="113">
        <f>255*(1-0.105)</f>
        <v>228.225</v>
      </c>
      <c r="K93" s="113">
        <f>275*(1-0.105)</f>
        <v>246.125</v>
      </c>
      <c r="L93" s="113">
        <f>286*(1-0.105)</f>
        <v>255.97</v>
      </c>
      <c r="M93" s="113">
        <f>280*(1-0.105)</f>
        <v>250.6</v>
      </c>
      <c r="N93" s="113">
        <f>317*(1-0.105)</f>
        <v>283.71500000000003</v>
      </c>
      <c r="O93" s="113">
        <f>317*(1-0.105)</f>
        <v>283.71500000000003</v>
      </c>
      <c r="P93" s="113">
        <f>286*(1-0.105)</f>
        <v>255.97</v>
      </c>
      <c r="Q93" s="113">
        <f>317*(1-0.105)</f>
        <v>283.71500000000003</v>
      </c>
      <c r="R93" s="149">
        <f>SUM(F93:Q93)</f>
        <v>3177.2500000000005</v>
      </c>
      <c r="S93" s="173">
        <f>R93/12</f>
        <v>264.77083333333337</v>
      </c>
      <c r="T93" s="149">
        <f>MAX(F93:Q93)</f>
        <v>287.295</v>
      </c>
      <c r="U93" s="40"/>
      <c r="V93" s="40"/>
      <c r="W93" s="40"/>
      <c r="X93" s="40"/>
    </row>
    <row r="94" spans="1:24" ht="15.75">
      <c r="A94" s="36"/>
      <c r="B94" s="108"/>
      <c r="D94" s="136"/>
      <c r="E94" s="10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13"/>
      <c r="T94" s="9"/>
      <c r="U94" s="40"/>
      <c r="V94" s="40"/>
      <c r="W94" s="40"/>
      <c r="X94" s="40"/>
    </row>
    <row r="95" spans="1:24" ht="31.5">
      <c r="A95" s="36"/>
      <c r="B95" s="108" t="s">
        <v>18</v>
      </c>
      <c r="D95" s="136" t="s">
        <v>562</v>
      </c>
      <c r="E95" s="109" t="s">
        <v>372</v>
      </c>
      <c r="F95" s="12">
        <f>(F91/(1-10.5%))/(0.46*24*F$10)*100</f>
        <v>80.91686233233474</v>
      </c>
      <c r="G95" s="12">
        <f aca="true" t="shared" si="11" ref="G95:N95">(G91/(1-10.5%))/(0.46*24*G$10)*100</f>
        <v>98.24527725324577</v>
      </c>
      <c r="H95" s="12">
        <f t="shared" si="11"/>
        <v>100.09985696164951</v>
      </c>
      <c r="I95" s="12">
        <f t="shared" si="11"/>
        <v>88.01363870236443</v>
      </c>
      <c r="J95" s="12">
        <f t="shared" si="11"/>
        <v>75.60410414724159</v>
      </c>
      <c r="K95" s="12">
        <f t="shared" si="11"/>
        <v>96.6399481823334</v>
      </c>
      <c r="L95" s="12">
        <f t="shared" si="11"/>
        <v>93.62504276785738</v>
      </c>
      <c r="M95" s="12">
        <f t="shared" si="11"/>
        <v>96.9310852022778</v>
      </c>
      <c r="N95" s="12">
        <f t="shared" si="11"/>
        <v>100.33012868227986</v>
      </c>
      <c r="O95" s="12">
        <f>(N91/(1-10.5%))/(0.46*24*O$10)*100</f>
        <v>100.33012868227986</v>
      </c>
      <c r="P95" s="12">
        <f>(O91/(1-10.5%))/(0.46*24*P$10)*100</f>
        <v>112.52992817238625</v>
      </c>
      <c r="Q95" s="12">
        <f>(P91/(1-10.5%))/(0.46*24*Q$10)*100</f>
        <v>90.47230079319684</v>
      </c>
      <c r="R95" s="112"/>
      <c r="S95" s="182"/>
      <c r="T95" s="112"/>
      <c r="U95" s="40"/>
      <c r="V95" s="40"/>
      <c r="W95" s="40"/>
      <c r="X95" s="40"/>
    </row>
    <row r="96" spans="1:24" ht="15.75">
      <c r="A96" s="36"/>
      <c r="B96" s="108"/>
      <c r="D96" s="136" t="s">
        <v>563</v>
      </c>
      <c r="E96" s="109"/>
      <c r="F96" s="12">
        <f aca="true" t="shared" si="12" ref="F96:Q96">(F92/(1-10.5%))/(0.46*24*F$10)*100</f>
        <v>99.72775483766495</v>
      </c>
      <c r="G96" s="12">
        <f t="shared" si="12"/>
        <v>102.22823801651167</v>
      </c>
      <c r="H96" s="12">
        <f t="shared" si="12"/>
        <v>95.48518338596064</v>
      </c>
      <c r="I96" s="12">
        <f t="shared" si="12"/>
        <v>77.04907007660343</v>
      </c>
      <c r="J96" s="12">
        <f t="shared" si="12"/>
        <v>88.67409195024041</v>
      </c>
      <c r="K96" s="12">
        <f t="shared" si="12"/>
        <v>87.63291771246591</v>
      </c>
      <c r="L96" s="12">
        <f t="shared" si="12"/>
        <v>90.2788116063912</v>
      </c>
      <c r="M96" s="12">
        <f t="shared" si="12"/>
        <v>93.28810532660424</v>
      </c>
      <c r="N96" s="12">
        <f t="shared" si="12"/>
        <v>90.2788116063912</v>
      </c>
      <c r="O96" s="12">
        <f t="shared" si="12"/>
        <v>90.2788116063912</v>
      </c>
      <c r="P96" s="12">
        <f t="shared" si="12"/>
        <v>99.9515414213617</v>
      </c>
      <c r="Q96" s="12">
        <f t="shared" si="12"/>
        <v>90.2788116063912</v>
      </c>
      <c r="R96" s="112"/>
      <c r="S96" s="182"/>
      <c r="T96" s="112"/>
      <c r="U96" s="40"/>
      <c r="V96" s="40"/>
      <c r="W96" s="40"/>
      <c r="X96" s="40"/>
    </row>
    <row r="97" spans="1:24" ht="15.75">
      <c r="A97" s="36"/>
      <c r="B97" s="108"/>
      <c r="D97" s="136" t="s">
        <v>685</v>
      </c>
      <c r="E97" s="109"/>
      <c r="F97" s="12">
        <v>88.1</v>
      </c>
      <c r="G97" s="12">
        <v>88.1</v>
      </c>
      <c r="H97" s="12">
        <v>88.1</v>
      </c>
      <c r="I97" s="12">
        <v>88.1</v>
      </c>
      <c r="J97" s="12">
        <v>88.1</v>
      </c>
      <c r="K97" s="12">
        <v>88.1</v>
      </c>
      <c r="L97" s="12">
        <v>88.1</v>
      </c>
      <c r="M97" s="12">
        <v>88.1</v>
      </c>
      <c r="N97" s="12">
        <v>88.1</v>
      </c>
      <c r="O97" s="12">
        <v>88.1</v>
      </c>
      <c r="P97" s="12">
        <v>88.1</v>
      </c>
      <c r="Q97" s="12">
        <v>88.1</v>
      </c>
      <c r="R97" s="112"/>
      <c r="S97" s="182"/>
      <c r="T97" s="114"/>
      <c r="U97" s="40"/>
      <c r="V97" s="40"/>
      <c r="W97" s="40"/>
      <c r="X97" s="40"/>
    </row>
    <row r="98" spans="1:24" ht="15.75">
      <c r="A98" s="36"/>
      <c r="B98" s="108" t="s">
        <v>740</v>
      </c>
      <c r="D98" s="136"/>
      <c r="E98" s="109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4"/>
      <c r="S98" s="180"/>
      <c r="T98" s="113"/>
      <c r="U98" s="40"/>
      <c r="V98" s="40"/>
      <c r="W98" s="40"/>
      <c r="X98" s="40"/>
    </row>
    <row r="99" spans="1:24" ht="15.75">
      <c r="A99" s="36">
        <v>10</v>
      </c>
      <c r="B99" s="108" t="s">
        <v>736</v>
      </c>
      <c r="D99" s="136"/>
      <c r="E99" s="109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4"/>
      <c r="S99" s="180"/>
      <c r="T99" s="113"/>
      <c r="U99" s="40"/>
      <c r="V99" s="40"/>
      <c r="W99" s="40"/>
      <c r="X99" s="40"/>
    </row>
    <row r="100" spans="1:24" ht="15.75">
      <c r="A100" s="36"/>
      <c r="B100" s="108" t="s">
        <v>21</v>
      </c>
      <c r="D100" s="136" t="s">
        <v>562</v>
      </c>
      <c r="E100" s="109" t="s">
        <v>367</v>
      </c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4"/>
      <c r="S100" s="180"/>
      <c r="T100" s="113"/>
      <c r="U100" s="40"/>
      <c r="V100" s="40"/>
      <c r="W100" s="40"/>
      <c r="X100" s="40"/>
    </row>
    <row r="101" spans="1:24" ht="15.75">
      <c r="A101" s="36"/>
      <c r="B101" s="108"/>
      <c r="D101" s="136" t="s">
        <v>563</v>
      </c>
      <c r="E101" s="109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4"/>
      <c r="S101" s="180"/>
      <c r="T101" s="113"/>
      <c r="U101" s="40"/>
      <c r="V101" s="40"/>
      <c r="W101" s="40"/>
      <c r="X101" s="40"/>
    </row>
    <row r="102" spans="1:24" ht="15.75">
      <c r="A102" s="36"/>
      <c r="B102" s="108"/>
      <c r="D102" s="136" t="s">
        <v>685</v>
      </c>
      <c r="E102" s="109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4"/>
      <c r="S102" s="180"/>
      <c r="T102" s="113"/>
      <c r="U102" s="40"/>
      <c r="V102" s="40"/>
      <c r="W102" s="40"/>
      <c r="X102" s="40"/>
    </row>
    <row r="103" spans="1:24" ht="15.75">
      <c r="A103" s="36"/>
      <c r="B103" s="108"/>
      <c r="D103" s="136"/>
      <c r="E103" s="109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4"/>
      <c r="S103" s="180"/>
      <c r="T103" s="113"/>
      <c r="U103" s="40"/>
      <c r="V103" s="40"/>
      <c r="W103" s="40"/>
      <c r="X103" s="40"/>
    </row>
    <row r="104" spans="1:24" ht="15.75">
      <c r="A104" s="36"/>
      <c r="B104" s="108" t="s">
        <v>22</v>
      </c>
      <c r="D104" s="136" t="s">
        <v>562</v>
      </c>
      <c r="E104" s="109" t="s">
        <v>372</v>
      </c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4"/>
      <c r="S104" s="180"/>
      <c r="T104" s="113"/>
      <c r="U104" s="40"/>
      <c r="V104" s="40"/>
      <c r="W104" s="40"/>
      <c r="X104" s="40"/>
    </row>
    <row r="105" spans="1:24" ht="15.75">
      <c r="A105" s="36"/>
      <c r="B105" s="108"/>
      <c r="D105" s="136" t="s">
        <v>563</v>
      </c>
      <c r="E105" s="109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4"/>
      <c r="S105" s="180"/>
      <c r="T105" s="113"/>
      <c r="U105" s="40"/>
      <c r="V105" s="40"/>
      <c r="W105" s="40"/>
      <c r="X105" s="40"/>
    </row>
    <row r="106" spans="1:24" ht="15.75">
      <c r="A106" s="36"/>
      <c r="B106" s="108"/>
      <c r="D106" s="136" t="s">
        <v>685</v>
      </c>
      <c r="E106" s="109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4"/>
      <c r="S106" s="180"/>
      <c r="T106" s="113"/>
      <c r="U106" s="40"/>
      <c r="V106" s="40"/>
      <c r="W106" s="40"/>
      <c r="X106" s="40"/>
    </row>
    <row r="107" spans="1:24" ht="15.75">
      <c r="A107" s="36"/>
      <c r="B107" s="108"/>
      <c r="D107" s="136"/>
      <c r="E107" s="109"/>
      <c r="F107" s="113"/>
      <c r="G107" s="113"/>
      <c r="H107" s="113"/>
      <c r="I107" s="113"/>
      <c r="J107" s="113"/>
      <c r="K107" s="113"/>
      <c r="L107" s="113"/>
      <c r="R107" s="114"/>
      <c r="S107" s="180"/>
      <c r="T107" s="113"/>
      <c r="U107" s="40"/>
      <c r="V107" s="40"/>
      <c r="W107" s="40"/>
      <c r="X107" s="40"/>
    </row>
    <row r="108" spans="1:24" ht="13.5" customHeight="1">
      <c r="A108" s="36"/>
      <c r="B108" s="108" t="s">
        <v>23</v>
      </c>
      <c r="D108" s="136" t="s">
        <v>562</v>
      </c>
      <c r="E108" s="109" t="s">
        <v>367</v>
      </c>
      <c r="F108" s="116">
        <v>257.711</v>
      </c>
      <c r="G108" s="116">
        <v>250.161</v>
      </c>
      <c r="H108" s="116">
        <v>175.486</v>
      </c>
      <c r="I108" s="116">
        <v>140.882</v>
      </c>
      <c r="J108" s="116">
        <v>165.618</v>
      </c>
      <c r="K108" s="116">
        <v>281.081</v>
      </c>
      <c r="L108" s="116">
        <v>224.625</v>
      </c>
      <c r="M108" s="116">
        <v>258.337</v>
      </c>
      <c r="N108" s="116">
        <v>287.425</v>
      </c>
      <c r="O108" s="116">
        <v>268.18</v>
      </c>
      <c r="P108" s="116">
        <v>265.065</v>
      </c>
      <c r="Q108" s="116">
        <v>286.17</v>
      </c>
      <c r="R108" s="145">
        <f>SUM(F108:Q108)</f>
        <v>2860.741</v>
      </c>
      <c r="S108" s="161">
        <f>R108/12</f>
        <v>238.39508333333333</v>
      </c>
      <c r="T108" s="145">
        <f>MAX(F108:Q108)</f>
        <v>287.425</v>
      </c>
      <c r="U108" s="40"/>
      <c r="V108" s="40"/>
      <c r="W108" s="40"/>
      <c r="X108" s="40"/>
    </row>
    <row r="109" spans="1:24" ht="15" customHeight="1">
      <c r="A109" s="36"/>
      <c r="B109" s="108"/>
      <c r="D109" s="136" t="s">
        <v>563</v>
      </c>
      <c r="E109" s="109"/>
      <c r="F109" s="116">
        <v>280.061</v>
      </c>
      <c r="G109" s="116">
        <v>279.942</v>
      </c>
      <c r="H109" s="116">
        <v>297.375</v>
      </c>
      <c r="I109" s="116">
        <v>266.429</v>
      </c>
      <c r="J109" s="116">
        <v>119.71</v>
      </c>
      <c r="K109" s="116">
        <v>233.269</v>
      </c>
      <c r="L109" s="116">
        <f aca="true" t="shared" si="13" ref="L109:Q109">1476.79/6</f>
        <v>246.13166666666666</v>
      </c>
      <c r="M109" s="116">
        <f t="shared" si="13"/>
        <v>246.13166666666666</v>
      </c>
      <c r="N109" s="116">
        <f t="shared" si="13"/>
        <v>246.13166666666666</v>
      </c>
      <c r="O109" s="116">
        <f t="shared" si="13"/>
        <v>246.13166666666666</v>
      </c>
      <c r="P109" s="116">
        <f t="shared" si="13"/>
        <v>246.13166666666666</v>
      </c>
      <c r="Q109" s="116">
        <f t="shared" si="13"/>
        <v>246.13166666666666</v>
      </c>
      <c r="R109" s="149">
        <f>SUM(F109:Q109)</f>
        <v>2953.5759999999996</v>
      </c>
      <c r="S109" s="173">
        <f>R109/12</f>
        <v>246.1313333333333</v>
      </c>
      <c r="T109" s="149">
        <f>MAX(F109:Q109)</f>
        <v>297.375</v>
      </c>
      <c r="U109" s="40"/>
      <c r="V109" s="40"/>
      <c r="W109" s="40"/>
      <c r="X109" s="40"/>
    </row>
    <row r="110" spans="1:24" ht="13.5" customHeight="1">
      <c r="A110" s="36"/>
      <c r="B110" s="108"/>
      <c r="D110" s="136" t="s">
        <v>685</v>
      </c>
      <c r="E110" s="109"/>
      <c r="F110" s="114">
        <f>4199/12</f>
        <v>349.9166666666667</v>
      </c>
      <c r="G110" s="114">
        <f aca="true" t="shared" si="14" ref="G110:Q110">4199/12</f>
        <v>349.9166666666667</v>
      </c>
      <c r="H110" s="114">
        <f t="shared" si="14"/>
        <v>349.9166666666667</v>
      </c>
      <c r="I110" s="114">
        <f t="shared" si="14"/>
        <v>349.9166666666667</v>
      </c>
      <c r="J110" s="114">
        <f t="shared" si="14"/>
        <v>349.9166666666667</v>
      </c>
      <c r="K110" s="114">
        <f t="shared" si="14"/>
        <v>349.9166666666667</v>
      </c>
      <c r="L110" s="114">
        <f t="shared" si="14"/>
        <v>349.9166666666667</v>
      </c>
      <c r="M110" s="114">
        <f t="shared" si="14"/>
        <v>349.9166666666667</v>
      </c>
      <c r="N110" s="114">
        <f t="shared" si="14"/>
        <v>349.9166666666667</v>
      </c>
      <c r="O110" s="114">
        <f t="shared" si="14"/>
        <v>349.9166666666667</v>
      </c>
      <c r="P110" s="114">
        <f t="shared" si="14"/>
        <v>349.9166666666667</v>
      </c>
      <c r="Q110" s="114">
        <f t="shared" si="14"/>
        <v>349.9166666666667</v>
      </c>
      <c r="R110" s="149">
        <f>SUM(F110:Q110)</f>
        <v>4198.999999999999</v>
      </c>
      <c r="S110" s="173">
        <f>R110/12</f>
        <v>349.9166666666666</v>
      </c>
      <c r="T110" s="149">
        <f>MAX(F110:Q110)</f>
        <v>349.9166666666667</v>
      </c>
      <c r="U110" s="40"/>
      <c r="V110" s="40"/>
      <c r="W110" s="40"/>
      <c r="X110" s="40"/>
    </row>
    <row r="111" spans="1:24" ht="13.5" customHeight="1">
      <c r="A111" s="36"/>
      <c r="B111" s="108"/>
      <c r="D111" s="136"/>
      <c r="E111" s="109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"/>
      <c r="U111" s="40"/>
      <c r="V111" s="40"/>
      <c r="W111" s="40"/>
      <c r="X111" s="40"/>
    </row>
    <row r="112" spans="1:24" ht="15.75">
      <c r="A112" s="36"/>
      <c r="B112" s="108"/>
      <c r="D112" s="136"/>
      <c r="E112" s="109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4"/>
      <c r="S112" s="180"/>
      <c r="T112" s="113"/>
      <c r="U112" s="40"/>
      <c r="V112" s="40"/>
      <c r="W112" s="40"/>
      <c r="X112" s="40"/>
    </row>
    <row r="113" spans="1:24" ht="15.75">
      <c r="A113" s="36">
        <v>11</v>
      </c>
      <c r="B113" s="108" t="s">
        <v>24</v>
      </c>
      <c r="D113" s="136"/>
      <c r="E113" s="109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4"/>
      <c r="S113" s="180"/>
      <c r="T113" s="113"/>
      <c r="U113" s="40"/>
      <c r="V113" s="40"/>
      <c r="W113" s="40"/>
      <c r="X113" s="40"/>
    </row>
    <row r="114" spans="1:24" ht="15.75">
      <c r="A114" s="36"/>
      <c r="B114" s="108" t="s">
        <v>21</v>
      </c>
      <c r="D114" s="136" t="s">
        <v>562</v>
      </c>
      <c r="E114" s="109" t="s">
        <v>367</v>
      </c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4"/>
      <c r="S114" s="180"/>
      <c r="T114" s="113"/>
      <c r="U114" s="40"/>
      <c r="V114" s="40"/>
      <c r="W114" s="40"/>
      <c r="X114" s="40"/>
    </row>
    <row r="115" spans="1:24" ht="15.75">
      <c r="A115" s="36"/>
      <c r="B115" s="108"/>
      <c r="D115" s="136" t="s">
        <v>563</v>
      </c>
      <c r="E115" s="109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4"/>
      <c r="S115" s="180"/>
      <c r="T115" s="113"/>
      <c r="U115" s="40"/>
      <c r="V115" s="40"/>
      <c r="W115" s="40"/>
      <c r="X115" s="40"/>
    </row>
    <row r="116" spans="1:24" ht="15.75">
      <c r="A116" s="36"/>
      <c r="B116" s="108"/>
      <c r="D116" s="136" t="s">
        <v>685</v>
      </c>
      <c r="E116" s="109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4"/>
      <c r="S116" s="180"/>
      <c r="T116" s="113"/>
      <c r="U116" s="40"/>
      <c r="V116" s="40"/>
      <c r="W116" s="40"/>
      <c r="X116" s="40"/>
    </row>
    <row r="117" spans="1:24" ht="15.75">
      <c r="A117" s="36"/>
      <c r="B117" s="108"/>
      <c r="D117" s="167"/>
      <c r="E117" s="109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4"/>
      <c r="S117" s="180"/>
      <c r="T117" s="113"/>
      <c r="U117" s="40"/>
      <c r="V117" s="40"/>
      <c r="W117" s="40"/>
      <c r="X117" s="40"/>
    </row>
    <row r="118" spans="1:24" ht="15.75">
      <c r="A118" s="36"/>
      <c r="B118" s="108" t="s">
        <v>22</v>
      </c>
      <c r="D118" s="136" t="s">
        <v>562</v>
      </c>
      <c r="E118" s="109" t="s">
        <v>372</v>
      </c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4"/>
      <c r="S118" s="180"/>
      <c r="T118" s="113"/>
      <c r="U118" s="40"/>
      <c r="V118" s="40"/>
      <c r="W118" s="40"/>
      <c r="X118" s="40"/>
    </row>
    <row r="119" spans="1:24" ht="15.75">
      <c r="A119" s="36"/>
      <c r="B119" s="108"/>
      <c r="D119" s="136" t="s">
        <v>563</v>
      </c>
      <c r="E119" s="109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4"/>
      <c r="S119" s="180"/>
      <c r="T119" s="113"/>
      <c r="U119" s="40"/>
      <c r="V119" s="40"/>
      <c r="W119" s="40"/>
      <c r="X119" s="40"/>
    </row>
    <row r="120" spans="1:24" ht="15.75">
      <c r="A120" s="36"/>
      <c r="B120" s="108"/>
      <c r="D120" s="136" t="s">
        <v>685</v>
      </c>
      <c r="E120" s="109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4"/>
      <c r="S120" s="180"/>
      <c r="T120" s="113"/>
      <c r="U120" s="40"/>
      <c r="V120" s="40"/>
      <c r="W120" s="40"/>
      <c r="X120" s="40"/>
    </row>
    <row r="121" spans="1:24" ht="15.75">
      <c r="A121" s="36"/>
      <c r="B121" s="108"/>
      <c r="D121" s="136"/>
      <c r="E121" s="109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4"/>
      <c r="S121" s="180"/>
      <c r="T121" s="113"/>
      <c r="U121" s="40"/>
      <c r="V121" s="40"/>
      <c r="W121" s="40"/>
      <c r="X121" s="40"/>
    </row>
    <row r="122" spans="1:24" ht="39" customHeight="1">
      <c r="A122" s="36"/>
      <c r="B122" s="108" t="s">
        <v>23</v>
      </c>
      <c r="D122" s="136" t="s">
        <v>562</v>
      </c>
      <c r="E122" s="109" t="s">
        <v>367</v>
      </c>
      <c r="F122" s="116">
        <v>53.446</v>
      </c>
      <c r="G122" s="116">
        <v>48.9</v>
      </c>
      <c r="H122" s="116">
        <v>0.006</v>
      </c>
      <c r="I122" s="116">
        <v>21.529</v>
      </c>
      <c r="J122" s="116">
        <v>1.794</v>
      </c>
      <c r="K122" s="116">
        <v>26.913</v>
      </c>
      <c r="L122" s="116">
        <v>28.835</v>
      </c>
      <c r="M122" s="116">
        <v>77.575</v>
      </c>
      <c r="N122" s="116">
        <v>44.146</v>
      </c>
      <c r="O122" s="116">
        <v>49.401</v>
      </c>
      <c r="P122" s="116">
        <v>46.757</v>
      </c>
      <c r="Q122" s="116">
        <v>69.123</v>
      </c>
      <c r="R122" s="145">
        <f>SUM(F122:Q122)</f>
        <v>468.425</v>
      </c>
      <c r="S122" s="161">
        <f>R122/12</f>
        <v>39.03541666666667</v>
      </c>
      <c r="T122" s="145">
        <f>MAX(F122:Q122)</f>
        <v>77.575</v>
      </c>
      <c r="U122" s="40"/>
      <c r="V122" s="40"/>
      <c r="W122" s="40"/>
      <c r="X122" s="40"/>
    </row>
    <row r="123" spans="1:24" ht="15.75">
      <c r="A123" s="36"/>
      <c r="B123" s="108"/>
      <c r="D123" s="136" t="s">
        <v>563</v>
      </c>
      <c r="E123" s="109"/>
      <c r="F123" s="116">
        <v>59.988</v>
      </c>
      <c r="G123" s="116">
        <v>64.139</v>
      </c>
      <c r="H123" s="116">
        <v>87.662</v>
      </c>
      <c r="I123" s="116">
        <v>83.175</v>
      </c>
      <c r="J123" s="116">
        <v>75.495</v>
      </c>
      <c r="K123" s="116">
        <v>87.998</v>
      </c>
      <c r="L123" s="116">
        <f aca="true" t="shared" si="15" ref="L123:Q123">458.56/6</f>
        <v>76.42666666666666</v>
      </c>
      <c r="M123" s="116">
        <f t="shared" si="15"/>
        <v>76.42666666666666</v>
      </c>
      <c r="N123" s="116">
        <f t="shared" si="15"/>
        <v>76.42666666666666</v>
      </c>
      <c r="O123" s="116">
        <f t="shared" si="15"/>
        <v>76.42666666666666</v>
      </c>
      <c r="P123" s="116">
        <f t="shared" si="15"/>
        <v>76.42666666666666</v>
      </c>
      <c r="Q123" s="116">
        <f t="shared" si="15"/>
        <v>76.42666666666666</v>
      </c>
      <c r="R123" s="149">
        <f>SUM(F123:Q123)</f>
        <v>917.0169999999997</v>
      </c>
      <c r="S123" s="173">
        <f>R123/12</f>
        <v>76.41808333333331</v>
      </c>
      <c r="T123" s="149">
        <f>MAX(F123:Q123)</f>
        <v>87.998</v>
      </c>
      <c r="U123" s="40"/>
      <c r="V123" s="40"/>
      <c r="W123" s="40"/>
      <c r="X123" s="40"/>
    </row>
    <row r="124" spans="1:24" ht="15.75">
      <c r="A124" s="36"/>
      <c r="B124" s="108"/>
      <c r="D124" s="136" t="s">
        <v>685</v>
      </c>
      <c r="E124" s="109"/>
      <c r="F124" s="114">
        <f>1798/12</f>
        <v>149.83333333333334</v>
      </c>
      <c r="G124" s="114">
        <f aca="true" t="shared" si="16" ref="G124:Q124">1798/12</f>
        <v>149.83333333333334</v>
      </c>
      <c r="H124" s="114">
        <f t="shared" si="16"/>
        <v>149.83333333333334</v>
      </c>
      <c r="I124" s="114">
        <f t="shared" si="16"/>
        <v>149.83333333333334</v>
      </c>
      <c r="J124" s="114">
        <f t="shared" si="16"/>
        <v>149.83333333333334</v>
      </c>
      <c r="K124" s="114">
        <f t="shared" si="16"/>
        <v>149.83333333333334</v>
      </c>
      <c r="L124" s="114">
        <f t="shared" si="16"/>
        <v>149.83333333333334</v>
      </c>
      <c r="M124" s="114">
        <f t="shared" si="16"/>
        <v>149.83333333333334</v>
      </c>
      <c r="N124" s="114">
        <f t="shared" si="16"/>
        <v>149.83333333333334</v>
      </c>
      <c r="O124" s="114">
        <f t="shared" si="16"/>
        <v>149.83333333333334</v>
      </c>
      <c r="P124" s="114">
        <f t="shared" si="16"/>
        <v>149.83333333333334</v>
      </c>
      <c r="Q124" s="114">
        <f t="shared" si="16"/>
        <v>149.83333333333334</v>
      </c>
      <c r="R124" s="149">
        <f>SUM(F124:Q124)</f>
        <v>1797.9999999999998</v>
      </c>
      <c r="S124" s="173">
        <f>R124/12</f>
        <v>149.83333333333331</v>
      </c>
      <c r="T124" s="149">
        <f>MAX(F124:Q124)</f>
        <v>149.83333333333334</v>
      </c>
      <c r="U124" s="40"/>
      <c r="V124" s="40"/>
      <c r="W124" s="40"/>
      <c r="X124" s="40"/>
    </row>
    <row r="125" spans="1:24" ht="15.75">
      <c r="A125" s="36"/>
      <c r="B125" s="108"/>
      <c r="D125" s="136"/>
      <c r="E125" s="109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4"/>
      <c r="S125" s="180"/>
      <c r="T125" s="113"/>
      <c r="U125" s="40"/>
      <c r="V125" s="40"/>
      <c r="W125" s="40"/>
      <c r="X125" s="40"/>
    </row>
    <row r="126" spans="1:24" ht="15.75">
      <c r="A126" s="36"/>
      <c r="B126" s="108"/>
      <c r="D126" s="136"/>
      <c r="E126" s="109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4"/>
      <c r="S126" s="180"/>
      <c r="T126" s="113"/>
      <c r="U126" s="40"/>
      <c r="V126" s="40"/>
      <c r="W126" s="40"/>
      <c r="X126" s="40"/>
    </row>
    <row r="127" spans="1:24" ht="15.75">
      <c r="A127" s="36"/>
      <c r="B127" s="108" t="s">
        <v>746</v>
      </c>
      <c r="D127" s="136"/>
      <c r="E127" s="109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4"/>
      <c r="S127" s="180"/>
      <c r="T127" s="113"/>
      <c r="U127" s="40"/>
      <c r="V127" s="40"/>
      <c r="W127" s="40"/>
      <c r="X127" s="40"/>
    </row>
    <row r="128" spans="1:24" ht="15.75">
      <c r="A128" s="36"/>
      <c r="B128" s="108" t="s">
        <v>21</v>
      </c>
      <c r="D128" s="136" t="s">
        <v>562</v>
      </c>
      <c r="E128" s="109" t="s">
        <v>367</v>
      </c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45">
        <f>SUM(F128:Q128)</f>
        <v>0</v>
      </c>
      <c r="S128" s="161">
        <f>R128/12</f>
        <v>0</v>
      </c>
      <c r="T128" s="145">
        <f>MAX(F128:Q128)</f>
        <v>0</v>
      </c>
      <c r="U128" s="40"/>
      <c r="V128" s="40"/>
      <c r="W128" s="40"/>
      <c r="X128" s="40"/>
    </row>
    <row r="129" spans="1:24" ht="15.75">
      <c r="A129" s="36"/>
      <c r="B129" s="108"/>
      <c r="D129" s="136" t="s">
        <v>563</v>
      </c>
      <c r="E129" s="109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49">
        <f>SUM(F129:Q129)</f>
        <v>0</v>
      </c>
      <c r="S129" s="173">
        <f>R129/12</f>
        <v>0</v>
      </c>
      <c r="T129" s="149">
        <f>MAX(F129:Q129)</f>
        <v>0</v>
      </c>
      <c r="U129" s="40"/>
      <c r="V129" s="40"/>
      <c r="W129" s="40"/>
      <c r="X129" s="40"/>
    </row>
    <row r="130" spans="1:24" ht="15.75">
      <c r="A130" s="36"/>
      <c r="B130" s="108"/>
      <c r="D130" s="136" t="s">
        <v>685</v>
      </c>
      <c r="E130" s="109"/>
      <c r="F130" s="113">
        <f>1002/12</f>
        <v>83.5</v>
      </c>
      <c r="G130" s="113">
        <f aca="true" t="shared" si="17" ref="G130:Q130">1002/12</f>
        <v>83.5</v>
      </c>
      <c r="H130" s="113">
        <f t="shared" si="17"/>
        <v>83.5</v>
      </c>
      <c r="I130" s="113">
        <f t="shared" si="17"/>
        <v>83.5</v>
      </c>
      <c r="J130" s="113">
        <f t="shared" si="17"/>
        <v>83.5</v>
      </c>
      <c r="K130" s="113">
        <f t="shared" si="17"/>
        <v>83.5</v>
      </c>
      <c r="L130" s="113">
        <f t="shared" si="17"/>
        <v>83.5</v>
      </c>
      <c r="M130" s="113">
        <f t="shared" si="17"/>
        <v>83.5</v>
      </c>
      <c r="N130" s="113">
        <f t="shared" si="17"/>
        <v>83.5</v>
      </c>
      <c r="O130" s="113">
        <f t="shared" si="17"/>
        <v>83.5</v>
      </c>
      <c r="P130" s="113">
        <f>1002/12</f>
        <v>83.5</v>
      </c>
      <c r="Q130" s="113">
        <f t="shared" si="17"/>
        <v>83.5</v>
      </c>
      <c r="R130" s="149">
        <f>SUM(F130:Q130)</f>
        <v>1002</v>
      </c>
      <c r="S130" s="173">
        <f>R130/12</f>
        <v>83.5</v>
      </c>
      <c r="T130" s="149">
        <f>MAX(F130:Q130)</f>
        <v>83.5</v>
      </c>
      <c r="U130" s="40"/>
      <c r="V130" s="40"/>
      <c r="W130" s="40"/>
      <c r="X130" s="40"/>
    </row>
    <row r="131" spans="1:24" ht="15.75">
      <c r="A131" s="36"/>
      <c r="B131" s="108"/>
      <c r="D131" s="167"/>
      <c r="E131" s="109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4"/>
      <c r="S131" s="180"/>
      <c r="T131" s="113"/>
      <c r="U131" s="40"/>
      <c r="V131" s="40"/>
      <c r="W131" s="40"/>
      <c r="X131" s="40"/>
    </row>
    <row r="132" spans="1:24" ht="15.75">
      <c r="A132" s="36"/>
      <c r="B132" s="108" t="s">
        <v>22</v>
      </c>
      <c r="D132" s="136" t="s">
        <v>562</v>
      </c>
      <c r="E132" s="109" t="s">
        <v>372</v>
      </c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4"/>
      <c r="S132" s="180"/>
      <c r="T132" s="113"/>
      <c r="U132" s="40"/>
      <c r="V132" s="40"/>
      <c r="W132" s="40"/>
      <c r="X132" s="40"/>
    </row>
    <row r="133" spans="1:24" ht="15.75">
      <c r="A133" s="36"/>
      <c r="B133" s="108"/>
      <c r="D133" s="136" t="s">
        <v>563</v>
      </c>
      <c r="E133" s="109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4"/>
      <c r="S133" s="180"/>
      <c r="T133" s="113"/>
      <c r="U133" s="40"/>
      <c r="V133" s="40"/>
      <c r="W133" s="40"/>
      <c r="X133" s="40"/>
    </row>
    <row r="134" spans="1:24" ht="15.75">
      <c r="A134" s="36"/>
      <c r="B134" s="108"/>
      <c r="D134" s="136" t="s">
        <v>685</v>
      </c>
      <c r="E134" s="109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4"/>
      <c r="S134" s="180"/>
      <c r="T134" s="113"/>
      <c r="U134" s="40"/>
      <c r="V134" s="40"/>
      <c r="W134" s="40"/>
      <c r="X134" s="40"/>
    </row>
    <row r="135" spans="1:24" ht="15.75">
      <c r="A135" s="36"/>
      <c r="B135" s="108"/>
      <c r="D135" s="136"/>
      <c r="E135" s="109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4"/>
      <c r="S135" s="180"/>
      <c r="T135" s="113"/>
      <c r="U135" s="40"/>
      <c r="V135" s="40"/>
      <c r="W135" s="40"/>
      <c r="X135" s="40"/>
    </row>
    <row r="136" spans="1:24" ht="15.75">
      <c r="A136" s="36"/>
      <c r="B136" s="108" t="s">
        <v>747</v>
      </c>
      <c r="D136" s="136"/>
      <c r="E136" s="109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4"/>
      <c r="S136" s="180"/>
      <c r="T136" s="113"/>
      <c r="U136" s="40"/>
      <c r="V136" s="40"/>
      <c r="W136" s="40"/>
      <c r="X136" s="40"/>
    </row>
    <row r="137" spans="1:24" ht="15.75">
      <c r="A137" s="36"/>
      <c r="B137" s="108" t="s">
        <v>21</v>
      </c>
      <c r="D137" s="136" t="s">
        <v>562</v>
      </c>
      <c r="E137" s="109" t="s">
        <v>367</v>
      </c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45">
        <f>SUM(F137:Q137)</f>
        <v>0</v>
      </c>
      <c r="S137" s="161">
        <f>R137/12</f>
        <v>0</v>
      </c>
      <c r="T137" s="145">
        <f>MAX(F137:Q137)</f>
        <v>0</v>
      </c>
      <c r="U137" s="40"/>
      <c r="V137" s="40"/>
      <c r="W137" s="40"/>
      <c r="X137" s="40"/>
    </row>
    <row r="138" spans="1:24" ht="15.75">
      <c r="A138" s="36"/>
      <c r="B138" s="108"/>
      <c r="D138" s="136" t="s">
        <v>563</v>
      </c>
      <c r="E138" s="109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49">
        <f>SUM(F138:Q138)</f>
        <v>0</v>
      </c>
      <c r="S138" s="173">
        <f>R138/12</f>
        <v>0</v>
      </c>
      <c r="T138" s="149">
        <f>MAX(F138:Q138)</f>
        <v>0</v>
      </c>
      <c r="U138" s="40"/>
      <c r="V138" s="40"/>
      <c r="W138" s="40"/>
      <c r="X138" s="40"/>
    </row>
    <row r="139" spans="1:24" ht="15.75">
      <c r="A139" s="36"/>
      <c r="B139" s="108"/>
      <c r="D139" s="136" t="s">
        <v>685</v>
      </c>
      <c r="E139" s="109"/>
      <c r="F139" s="113">
        <f>54/12</f>
        <v>4.5</v>
      </c>
      <c r="G139" s="113">
        <f aca="true" t="shared" si="18" ref="G139:Q139">54/12</f>
        <v>4.5</v>
      </c>
      <c r="H139" s="113">
        <f t="shared" si="18"/>
        <v>4.5</v>
      </c>
      <c r="I139" s="113">
        <f t="shared" si="18"/>
        <v>4.5</v>
      </c>
      <c r="J139" s="113">
        <f t="shared" si="18"/>
        <v>4.5</v>
      </c>
      <c r="K139" s="113">
        <f t="shared" si="18"/>
        <v>4.5</v>
      </c>
      <c r="L139" s="113">
        <f t="shared" si="18"/>
        <v>4.5</v>
      </c>
      <c r="M139" s="113">
        <f t="shared" si="18"/>
        <v>4.5</v>
      </c>
      <c r="N139" s="113">
        <f t="shared" si="18"/>
        <v>4.5</v>
      </c>
      <c r="O139" s="113">
        <f t="shared" si="18"/>
        <v>4.5</v>
      </c>
      <c r="P139" s="113">
        <f t="shared" si="18"/>
        <v>4.5</v>
      </c>
      <c r="Q139" s="113">
        <f t="shared" si="18"/>
        <v>4.5</v>
      </c>
      <c r="R139" s="149">
        <f>SUM(F139:Q139)</f>
        <v>54</v>
      </c>
      <c r="S139" s="173">
        <f>R139/12</f>
        <v>4.5</v>
      </c>
      <c r="T139" s="149">
        <f>MAX(F139:Q139)</f>
        <v>4.5</v>
      </c>
      <c r="U139" s="40"/>
      <c r="V139" s="40"/>
      <c r="W139" s="40"/>
      <c r="X139" s="40"/>
    </row>
    <row r="140" spans="1:24" ht="15.75">
      <c r="A140" s="36"/>
      <c r="B140" s="108"/>
      <c r="D140" s="167"/>
      <c r="E140" s="109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4"/>
      <c r="S140" s="180"/>
      <c r="T140" s="113"/>
      <c r="U140" s="40"/>
      <c r="V140" s="40"/>
      <c r="W140" s="40"/>
      <c r="X140" s="40"/>
    </row>
    <row r="141" spans="1:24" ht="15.75">
      <c r="A141" s="36"/>
      <c r="B141" s="108" t="s">
        <v>22</v>
      </c>
      <c r="D141" s="136" t="s">
        <v>562</v>
      </c>
      <c r="E141" s="109" t="s">
        <v>372</v>
      </c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4"/>
      <c r="S141" s="180"/>
      <c r="T141" s="113"/>
      <c r="U141" s="40"/>
      <c r="V141" s="40"/>
      <c r="W141" s="40"/>
      <c r="X141" s="40"/>
    </row>
    <row r="142" spans="1:24" ht="15.75">
      <c r="A142" s="36"/>
      <c r="B142" s="108"/>
      <c r="D142" s="136" t="s">
        <v>563</v>
      </c>
      <c r="E142" s="109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4"/>
      <c r="S142" s="180"/>
      <c r="T142" s="113"/>
      <c r="U142" s="40"/>
      <c r="V142" s="40"/>
      <c r="W142" s="40"/>
      <c r="X142" s="40"/>
    </row>
    <row r="143" spans="1:24" ht="15.75">
      <c r="A143" s="36"/>
      <c r="B143" s="108"/>
      <c r="D143" s="136" t="s">
        <v>685</v>
      </c>
      <c r="E143" s="109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4"/>
      <c r="S143" s="180"/>
      <c r="T143" s="113"/>
      <c r="U143" s="40"/>
      <c r="V143" s="40"/>
      <c r="W143" s="40"/>
      <c r="X143" s="40"/>
    </row>
    <row r="144" spans="1:24" ht="15.75">
      <c r="A144" s="36"/>
      <c r="B144" s="108"/>
      <c r="D144" s="136"/>
      <c r="E144" s="109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4"/>
      <c r="S144" s="180"/>
      <c r="T144" s="113"/>
      <c r="U144" s="40"/>
      <c r="V144" s="40"/>
      <c r="W144" s="40"/>
      <c r="X144" s="40"/>
    </row>
    <row r="145" spans="1:24" ht="15.75">
      <c r="A145" s="36"/>
      <c r="B145" s="108"/>
      <c r="D145" s="136"/>
      <c r="E145" s="109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4"/>
      <c r="S145" s="180"/>
      <c r="T145" s="9"/>
      <c r="U145" s="40"/>
      <c r="V145" s="40"/>
      <c r="W145" s="40"/>
      <c r="X145" s="40"/>
    </row>
    <row r="146" spans="1:24" ht="31.5">
      <c r="A146" s="36"/>
      <c r="B146" s="108" t="s">
        <v>748</v>
      </c>
      <c r="D146" s="136" t="s">
        <v>562</v>
      </c>
      <c r="E146" s="109" t="s">
        <v>367</v>
      </c>
      <c r="F146" s="114">
        <f>F137+F128+F122+F108</f>
        <v>311.15700000000004</v>
      </c>
      <c r="G146" s="114">
        <f aca="true" t="shared" si="19" ref="G146:Q146">G137+G128+G122+G108</f>
        <v>299.061</v>
      </c>
      <c r="H146" s="114">
        <f t="shared" si="19"/>
        <v>175.492</v>
      </c>
      <c r="I146" s="114">
        <f t="shared" si="19"/>
        <v>162.411</v>
      </c>
      <c r="J146" s="114">
        <f t="shared" si="19"/>
        <v>167.412</v>
      </c>
      <c r="K146" s="114">
        <f t="shared" si="19"/>
        <v>307.994</v>
      </c>
      <c r="L146" s="114">
        <f t="shared" si="19"/>
        <v>253.46</v>
      </c>
      <c r="M146" s="114">
        <f t="shared" si="19"/>
        <v>335.912</v>
      </c>
      <c r="N146" s="114">
        <f t="shared" si="19"/>
        <v>331.571</v>
      </c>
      <c r="O146" s="114">
        <f t="shared" si="19"/>
        <v>317.581</v>
      </c>
      <c r="P146" s="114">
        <f t="shared" si="19"/>
        <v>311.822</v>
      </c>
      <c r="Q146" s="114">
        <f t="shared" si="19"/>
        <v>355.293</v>
      </c>
      <c r="R146" s="145">
        <f>SUM(F146:Q146)</f>
        <v>3329.1660000000006</v>
      </c>
      <c r="S146" s="161">
        <f>R146/12</f>
        <v>277.43050000000005</v>
      </c>
      <c r="T146" s="145">
        <f>MAX(F146:Q146)</f>
        <v>355.293</v>
      </c>
      <c r="U146" s="40"/>
      <c r="V146" s="40"/>
      <c r="W146" s="40"/>
      <c r="X146" s="40"/>
    </row>
    <row r="147" spans="1:24" ht="15.75">
      <c r="A147" s="36"/>
      <c r="B147" s="108"/>
      <c r="D147" s="136" t="s">
        <v>563</v>
      </c>
      <c r="E147" s="109"/>
      <c r="F147" s="114">
        <f aca="true" t="shared" si="20" ref="F147:Q148">F138+F129+F123+F109</f>
        <v>340.049</v>
      </c>
      <c r="G147" s="114">
        <f t="shared" si="20"/>
        <v>344.081</v>
      </c>
      <c r="H147" s="114">
        <f t="shared" si="20"/>
        <v>385.03700000000003</v>
      </c>
      <c r="I147" s="114">
        <f t="shared" si="20"/>
        <v>349.604</v>
      </c>
      <c r="J147" s="114">
        <f t="shared" si="20"/>
        <v>195.20499999999998</v>
      </c>
      <c r="K147" s="114">
        <f t="shared" si="20"/>
        <v>321.267</v>
      </c>
      <c r="L147" s="114">
        <f t="shared" si="20"/>
        <v>322.55833333333334</v>
      </c>
      <c r="M147" s="114">
        <f t="shared" si="20"/>
        <v>322.55833333333334</v>
      </c>
      <c r="N147" s="114">
        <f t="shared" si="20"/>
        <v>322.55833333333334</v>
      </c>
      <c r="O147" s="114">
        <f t="shared" si="20"/>
        <v>322.55833333333334</v>
      </c>
      <c r="P147" s="114">
        <f t="shared" si="20"/>
        <v>322.55833333333334</v>
      </c>
      <c r="Q147" s="114">
        <f t="shared" si="20"/>
        <v>322.55833333333334</v>
      </c>
      <c r="R147" s="149">
        <f>SUM(F147:Q147)</f>
        <v>3870.5930000000003</v>
      </c>
      <c r="S147" s="173">
        <f>R147/12</f>
        <v>322.5494166666667</v>
      </c>
      <c r="T147" s="149">
        <f>MAX(F147:Q147)</f>
        <v>385.03700000000003</v>
      </c>
      <c r="U147" s="40"/>
      <c r="V147" s="40"/>
      <c r="W147" s="40"/>
      <c r="X147" s="40"/>
    </row>
    <row r="148" spans="1:24" ht="15.75">
      <c r="A148" s="36"/>
      <c r="B148" s="108"/>
      <c r="D148" s="136" t="s">
        <v>685</v>
      </c>
      <c r="E148" s="109"/>
      <c r="F148" s="114">
        <f t="shared" si="20"/>
        <v>587.75</v>
      </c>
      <c r="G148" s="114">
        <f t="shared" si="20"/>
        <v>587.75</v>
      </c>
      <c r="H148" s="114">
        <f t="shared" si="20"/>
        <v>587.75</v>
      </c>
      <c r="I148" s="114">
        <f t="shared" si="20"/>
        <v>587.75</v>
      </c>
      <c r="J148" s="114">
        <f t="shared" si="20"/>
        <v>587.75</v>
      </c>
      <c r="K148" s="114">
        <f t="shared" si="20"/>
        <v>587.75</v>
      </c>
      <c r="L148" s="114">
        <f t="shared" si="20"/>
        <v>587.75</v>
      </c>
      <c r="M148" s="114">
        <f t="shared" si="20"/>
        <v>587.75</v>
      </c>
      <c r="N148" s="114">
        <f t="shared" si="20"/>
        <v>587.75</v>
      </c>
      <c r="O148" s="114">
        <f t="shared" si="20"/>
        <v>587.75</v>
      </c>
      <c r="P148" s="114">
        <f t="shared" si="20"/>
        <v>587.75</v>
      </c>
      <c r="Q148" s="114">
        <f t="shared" si="20"/>
        <v>587.75</v>
      </c>
      <c r="R148" s="149">
        <f>SUM(F148:Q148)</f>
        <v>7053</v>
      </c>
      <c r="S148" s="173">
        <f>R148/12</f>
        <v>587.75</v>
      </c>
      <c r="T148" s="149">
        <f>MAX(F148:Q148)</f>
        <v>587.75</v>
      </c>
      <c r="U148" s="40"/>
      <c r="V148" s="40"/>
      <c r="W148" s="40"/>
      <c r="X148" s="40"/>
    </row>
    <row r="149" spans="1:24" ht="15.75">
      <c r="A149" s="36"/>
      <c r="B149" s="108"/>
      <c r="D149" s="136"/>
      <c r="E149" s="109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4"/>
      <c r="S149" s="180"/>
      <c r="T149" s="9"/>
      <c r="U149" s="40"/>
      <c r="V149" s="40"/>
      <c r="W149" s="40"/>
      <c r="X149" s="40"/>
    </row>
    <row r="150" spans="1:24" ht="31.5">
      <c r="A150" s="36"/>
      <c r="B150" s="108" t="s">
        <v>18</v>
      </c>
      <c r="D150" s="136" t="s">
        <v>722</v>
      </c>
      <c r="E150" s="109" t="s">
        <v>372</v>
      </c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4"/>
      <c r="S150" s="180"/>
      <c r="T150" s="9"/>
      <c r="U150" s="40"/>
      <c r="V150" s="40"/>
      <c r="W150" s="40"/>
      <c r="X150" s="40"/>
    </row>
    <row r="151" spans="1:24" ht="15.75">
      <c r="A151" s="36"/>
      <c r="B151" s="108"/>
      <c r="D151" s="136" t="s">
        <v>563</v>
      </c>
      <c r="E151" s="109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4"/>
      <c r="S151" s="180"/>
      <c r="T151" s="9"/>
      <c r="U151" s="40"/>
      <c r="V151" s="40"/>
      <c r="W151" s="40"/>
      <c r="X151" s="40"/>
    </row>
    <row r="152" spans="1:24" ht="15.75">
      <c r="A152" s="36"/>
      <c r="B152" s="108"/>
      <c r="D152" s="136" t="s">
        <v>685</v>
      </c>
      <c r="E152" s="109"/>
      <c r="F152" s="113">
        <v>80</v>
      </c>
      <c r="G152" s="113">
        <v>80</v>
      </c>
      <c r="H152" s="113">
        <v>80</v>
      </c>
      <c r="I152" s="113">
        <v>80</v>
      </c>
      <c r="J152" s="113">
        <v>80</v>
      </c>
      <c r="K152" s="113">
        <v>80</v>
      </c>
      <c r="L152" s="113">
        <v>80</v>
      </c>
      <c r="M152" s="113">
        <v>80</v>
      </c>
      <c r="N152" s="113">
        <v>80</v>
      </c>
      <c r="O152" s="113">
        <v>80</v>
      </c>
      <c r="P152" s="113">
        <v>80</v>
      </c>
      <c r="Q152" s="113">
        <v>80</v>
      </c>
      <c r="R152" s="114"/>
      <c r="S152" s="180"/>
      <c r="T152" s="9"/>
      <c r="U152" s="40"/>
      <c r="V152" s="40"/>
      <c r="W152" s="40"/>
      <c r="X152" s="40"/>
    </row>
    <row r="153" spans="1:24" ht="15.75">
      <c r="A153" s="36"/>
      <c r="B153" s="108"/>
      <c r="D153" s="136"/>
      <c r="E153" s="109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4"/>
      <c r="S153" s="180"/>
      <c r="T153" s="9"/>
      <c r="U153" s="40"/>
      <c r="V153" s="40"/>
      <c r="W153" s="40"/>
      <c r="X153" s="40"/>
    </row>
    <row r="154" spans="1:24" ht="15.75">
      <c r="A154" s="36"/>
      <c r="B154" s="108" t="s">
        <v>434</v>
      </c>
      <c r="D154" s="136"/>
      <c r="E154" s="109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4"/>
      <c r="S154" s="180"/>
      <c r="T154" s="9"/>
      <c r="U154" s="40"/>
      <c r="V154" s="40"/>
      <c r="W154" s="40"/>
      <c r="X154" s="40"/>
    </row>
    <row r="155" spans="1:24" ht="16.5" customHeight="1">
      <c r="A155" s="36"/>
      <c r="B155" s="108" t="s">
        <v>25</v>
      </c>
      <c r="D155" s="136" t="s">
        <v>562</v>
      </c>
      <c r="E155" s="109" t="s">
        <v>367</v>
      </c>
      <c r="F155" s="114">
        <f>F146+F91+F82+F46</f>
        <v>1438.805</v>
      </c>
      <c r="G155" s="114">
        <f aca="true" t="shared" si="21" ref="G155:Q155">G146+G91+G82+G46</f>
        <v>1545.136</v>
      </c>
      <c r="H155" s="114">
        <f t="shared" si="21"/>
        <v>1256.8310000000001</v>
      </c>
      <c r="I155" s="114">
        <f t="shared" si="21"/>
        <v>1330.511</v>
      </c>
      <c r="J155" s="114">
        <f t="shared" si="21"/>
        <v>1381.0910000000001</v>
      </c>
      <c r="K155" s="114">
        <f t="shared" si="21"/>
        <v>1565.9920000000002</v>
      </c>
      <c r="L155" s="114">
        <f t="shared" si="21"/>
        <v>1464.489</v>
      </c>
      <c r="M155" s="114">
        <f t="shared" si="21"/>
        <v>1400.1330000000003</v>
      </c>
      <c r="N155" s="114">
        <f t="shared" si="21"/>
        <v>1137.406</v>
      </c>
      <c r="O155" s="114">
        <f t="shared" si="21"/>
        <v>1198.7640000000001</v>
      </c>
      <c r="P155" s="114">
        <f t="shared" si="21"/>
        <v>1181.388</v>
      </c>
      <c r="Q155" s="114">
        <f t="shared" si="21"/>
        <v>1394.4850000000001</v>
      </c>
      <c r="R155" s="145">
        <f>SUM(F155:Q155)</f>
        <v>16295.030999999999</v>
      </c>
      <c r="S155" s="161">
        <f>R155/12</f>
        <v>1357.91925</v>
      </c>
      <c r="T155" s="145">
        <f>MAX(F155:Q155)</f>
        <v>1565.9920000000002</v>
      </c>
      <c r="U155" s="40"/>
      <c r="V155" s="40"/>
      <c r="W155" s="40"/>
      <c r="X155" s="40"/>
    </row>
    <row r="156" spans="1:24" ht="16.5" customHeight="1">
      <c r="A156" s="36"/>
      <c r="B156" s="108"/>
      <c r="D156" s="136" t="s">
        <v>563</v>
      </c>
      <c r="E156" s="109"/>
      <c r="F156" s="114">
        <f aca="true" t="shared" si="22" ref="F156:Q157">F147+F92+F83+F47</f>
        <v>1519.840033</v>
      </c>
      <c r="G156" s="114">
        <f t="shared" si="22"/>
        <v>1501.861023</v>
      </c>
      <c r="H156" s="114">
        <f t="shared" si="22"/>
        <v>1426.554579</v>
      </c>
      <c r="I156" s="114">
        <f t="shared" si="22"/>
        <v>1257.921102</v>
      </c>
      <c r="J156" s="114">
        <f t="shared" si="22"/>
        <v>1572.657422</v>
      </c>
      <c r="K156" s="114">
        <f t="shared" si="22"/>
        <v>1644.727866</v>
      </c>
      <c r="L156" s="114">
        <f t="shared" si="22"/>
        <v>1492.595</v>
      </c>
      <c r="M156" s="114">
        <f t="shared" si="22"/>
        <v>1398.545</v>
      </c>
      <c r="N156" s="114">
        <f t="shared" si="22"/>
        <v>1041.155</v>
      </c>
      <c r="O156" s="114">
        <f t="shared" si="22"/>
        <v>1139.165</v>
      </c>
      <c r="P156" s="114">
        <f t="shared" si="22"/>
        <v>1195.595</v>
      </c>
      <c r="Q156" s="114">
        <f t="shared" si="22"/>
        <v>1306.475</v>
      </c>
      <c r="R156" s="149">
        <f>SUM(F156:Q156)</f>
        <v>16497.092024999998</v>
      </c>
      <c r="S156" s="173">
        <f>R156/12</f>
        <v>1374.7576687499998</v>
      </c>
      <c r="T156" s="149">
        <f>MAX(F156:Q156)</f>
        <v>1644.727866</v>
      </c>
      <c r="U156" s="40"/>
      <c r="V156" s="40"/>
      <c r="W156" s="40"/>
      <c r="X156" s="40"/>
    </row>
    <row r="157" spans="1:24" ht="16.5" customHeight="1">
      <c r="A157" s="36"/>
      <c r="B157" s="108"/>
      <c r="D157" s="136" t="s">
        <v>685</v>
      </c>
      <c r="E157" s="109"/>
      <c r="F157" s="114">
        <f t="shared" si="22"/>
        <v>1680.14</v>
      </c>
      <c r="G157" s="114">
        <f t="shared" si="22"/>
        <v>1686.6550000000002</v>
      </c>
      <c r="H157" s="114">
        <f t="shared" si="22"/>
        <v>1525.62308</v>
      </c>
      <c r="I157" s="114">
        <f t="shared" si="22"/>
        <v>1661.92</v>
      </c>
      <c r="J157" s="114">
        <f t="shared" si="22"/>
        <v>1772.7149999999997</v>
      </c>
      <c r="K157" s="114">
        <f t="shared" si="22"/>
        <v>1817.905</v>
      </c>
      <c r="L157" s="114">
        <f t="shared" si="22"/>
        <v>1773.0577400000002</v>
      </c>
      <c r="M157" s="114">
        <f t="shared" si="22"/>
        <v>1405.035</v>
      </c>
      <c r="N157" s="114">
        <f t="shared" si="22"/>
        <v>1339.6389</v>
      </c>
      <c r="O157" s="114">
        <f t="shared" si="22"/>
        <v>1480.755</v>
      </c>
      <c r="P157" s="114">
        <f t="shared" si="22"/>
        <v>1358.5</v>
      </c>
      <c r="Q157" s="114">
        <f t="shared" si="22"/>
        <v>1522.8013500000002</v>
      </c>
      <c r="R157" s="149">
        <f>SUM(F157:Q157)</f>
        <v>19024.74607</v>
      </c>
      <c r="S157" s="173">
        <f>R157/12</f>
        <v>1585.3955058333333</v>
      </c>
      <c r="T157" s="149">
        <f>MAX(F157:Q157)</f>
        <v>1817.905</v>
      </c>
      <c r="U157" s="40"/>
      <c r="V157" s="40"/>
      <c r="W157" s="40"/>
      <c r="X157" s="40"/>
    </row>
    <row r="158" spans="1:24" ht="16.5" customHeight="1">
      <c r="A158" s="36"/>
      <c r="B158" s="108"/>
      <c r="D158" s="136"/>
      <c r="E158" s="109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4"/>
      <c r="S158" s="180"/>
      <c r="T158" s="9"/>
      <c r="U158" s="40"/>
      <c r="V158" s="40"/>
      <c r="W158" s="40"/>
      <c r="X158" s="40"/>
    </row>
    <row r="159" spans="1:24" ht="15.75">
      <c r="A159" s="36"/>
      <c r="B159" s="108"/>
      <c r="D159" s="136"/>
      <c r="E159" s="109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4"/>
      <c r="S159" s="180"/>
      <c r="T159" s="9"/>
      <c r="U159" s="40"/>
      <c r="V159" s="40"/>
      <c r="W159" s="40"/>
      <c r="X159" s="40"/>
    </row>
    <row r="160" spans="1:20" ht="31.5">
      <c r="A160" s="36"/>
      <c r="B160" s="108" t="s">
        <v>430</v>
      </c>
      <c r="D160" s="136"/>
      <c r="E160" s="109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4"/>
      <c r="S160" s="180"/>
      <c r="T160" s="63"/>
    </row>
    <row r="161" spans="1:20" ht="15.75">
      <c r="A161" s="36">
        <v>13</v>
      </c>
      <c r="B161" s="108" t="s">
        <v>26</v>
      </c>
      <c r="D161" s="136"/>
      <c r="E161" s="109"/>
      <c r="F161" s="113"/>
      <c r="G161" s="113"/>
      <c r="H161" s="113"/>
      <c r="I161" s="113"/>
      <c r="J161" s="113"/>
      <c r="K161" s="113"/>
      <c r="L161" s="401"/>
      <c r="M161" s="401"/>
      <c r="N161" s="113"/>
      <c r="O161" s="113"/>
      <c r="P161" s="113"/>
      <c r="Q161" s="113"/>
      <c r="R161" s="114"/>
      <c r="S161" s="180"/>
      <c r="T161" s="63"/>
    </row>
    <row r="162" spans="1:20" ht="31.5">
      <c r="A162" s="36"/>
      <c r="B162" s="108" t="s">
        <v>27</v>
      </c>
      <c r="D162" s="136" t="s">
        <v>562</v>
      </c>
      <c r="E162" s="109" t="s">
        <v>367</v>
      </c>
      <c r="F162" s="113">
        <v>803.223</v>
      </c>
      <c r="G162" s="113">
        <v>787.603</v>
      </c>
      <c r="H162" s="113">
        <v>719.228</v>
      </c>
      <c r="I162" s="113">
        <v>840.753</v>
      </c>
      <c r="J162" s="113">
        <v>655.458</v>
      </c>
      <c r="K162" s="113">
        <v>753.57</v>
      </c>
      <c r="L162" s="113">
        <v>803.499697</v>
      </c>
      <c r="M162" s="113">
        <v>784.141466</v>
      </c>
      <c r="N162" s="113">
        <v>942.208706</v>
      </c>
      <c r="O162" s="113">
        <v>941.124429</v>
      </c>
      <c r="P162" s="113">
        <v>780.317</v>
      </c>
      <c r="Q162" s="113">
        <v>892.313272</v>
      </c>
      <c r="R162" s="145">
        <f>SUM(F162:Q162)</f>
        <v>9703.439569999999</v>
      </c>
      <c r="S162" s="161">
        <f>R162/12</f>
        <v>808.6199641666666</v>
      </c>
      <c r="T162" s="145">
        <f>MAX(F162:Q162)</f>
        <v>942.208706</v>
      </c>
    </row>
    <row r="163" spans="1:20" ht="15.75">
      <c r="A163" s="36"/>
      <c r="B163" s="108"/>
      <c r="D163" s="136" t="s">
        <v>563</v>
      </c>
      <c r="E163" s="109"/>
      <c r="F163" s="113">
        <v>860.969354</v>
      </c>
      <c r="G163" s="113">
        <v>801.501321</v>
      </c>
      <c r="H163" s="113">
        <v>735.698142</v>
      </c>
      <c r="I163" s="113">
        <v>784.433375</v>
      </c>
      <c r="J163" s="113">
        <v>763.423831</v>
      </c>
      <c r="K163" s="113">
        <v>645.551261</v>
      </c>
      <c r="L163" s="113">
        <f aca="true" t="shared" si="23" ref="L163:Q163">(1600*0.85*8.76*0.931)/12</f>
        <v>924.2968000000001</v>
      </c>
      <c r="M163" s="113">
        <f t="shared" si="23"/>
        <v>924.2968000000001</v>
      </c>
      <c r="N163" s="113">
        <f t="shared" si="23"/>
        <v>924.2968000000001</v>
      </c>
      <c r="O163" s="113">
        <f t="shared" si="23"/>
        <v>924.2968000000001</v>
      </c>
      <c r="P163" s="113">
        <f t="shared" si="23"/>
        <v>924.2968000000001</v>
      </c>
      <c r="Q163" s="113">
        <f t="shared" si="23"/>
        <v>924.2968000000001</v>
      </c>
      <c r="R163" s="149">
        <f>SUM(F163:Q163)</f>
        <v>10137.358084</v>
      </c>
      <c r="S163" s="173">
        <f>R163/12</f>
        <v>844.7798403333333</v>
      </c>
      <c r="T163" s="149">
        <f>MAX(F163:Q163)</f>
        <v>924.2968000000001</v>
      </c>
    </row>
    <row r="164" spans="1:20" ht="15.75">
      <c r="A164" s="36"/>
      <c r="B164" s="108"/>
      <c r="D164" s="136" t="s">
        <v>685</v>
      </c>
      <c r="E164" s="109"/>
      <c r="F164" s="113">
        <f>(1600*0.83*8.76*0.9353)/12</f>
        <v>906.717232</v>
      </c>
      <c r="G164" s="113">
        <f aca="true" t="shared" si="24" ref="G164:Q164">(1600*0.83*8.76*0.9353)/12</f>
        <v>906.717232</v>
      </c>
      <c r="H164" s="113">
        <f t="shared" si="24"/>
        <v>906.717232</v>
      </c>
      <c r="I164" s="113">
        <f t="shared" si="24"/>
        <v>906.717232</v>
      </c>
      <c r="J164" s="113">
        <f t="shared" si="24"/>
        <v>906.717232</v>
      </c>
      <c r="K164" s="113">
        <f t="shared" si="24"/>
        <v>906.717232</v>
      </c>
      <c r="L164" s="113">
        <f t="shared" si="24"/>
        <v>906.717232</v>
      </c>
      <c r="M164" s="113">
        <f t="shared" si="24"/>
        <v>906.717232</v>
      </c>
      <c r="N164" s="113">
        <f t="shared" si="24"/>
        <v>906.717232</v>
      </c>
      <c r="O164" s="113">
        <f t="shared" si="24"/>
        <v>906.717232</v>
      </c>
      <c r="P164" s="113">
        <f t="shared" si="24"/>
        <v>906.717232</v>
      </c>
      <c r="Q164" s="113">
        <f t="shared" si="24"/>
        <v>906.717232</v>
      </c>
      <c r="R164" s="149">
        <f>SUM(F164:Q164)</f>
        <v>10880.606784</v>
      </c>
      <c r="S164" s="173">
        <f>R164/12</f>
        <v>906.717232</v>
      </c>
      <c r="T164" s="149">
        <f>MAX(F164:Q164)</f>
        <v>906.717232</v>
      </c>
    </row>
    <row r="165" spans="1:20" ht="15.75">
      <c r="A165" s="36"/>
      <c r="B165" s="108"/>
      <c r="D165" s="136"/>
      <c r="E165" s="109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4"/>
      <c r="S165" s="180"/>
      <c r="T165" s="63"/>
    </row>
    <row r="166" spans="1:20" ht="15.75">
      <c r="A166" s="36"/>
      <c r="B166" s="108" t="s">
        <v>22</v>
      </c>
      <c r="D166" s="136" t="s">
        <v>562</v>
      </c>
      <c r="E166" s="109" t="s">
        <v>372</v>
      </c>
      <c r="F166" s="113">
        <v>13.713</v>
      </c>
      <c r="G166" s="113">
        <v>13.713</v>
      </c>
      <c r="H166" s="113">
        <v>13.713</v>
      </c>
      <c r="I166" s="113">
        <v>13.713</v>
      </c>
      <c r="J166" s="113">
        <v>13.713</v>
      </c>
      <c r="K166" s="113">
        <v>13.713</v>
      </c>
      <c r="L166" s="113">
        <v>13.713</v>
      </c>
      <c r="M166" s="113">
        <v>13.713</v>
      </c>
      <c r="N166" s="113">
        <v>13.713</v>
      </c>
      <c r="O166" s="113">
        <v>13.713</v>
      </c>
      <c r="P166" s="113">
        <v>13.713</v>
      </c>
      <c r="Q166" s="113">
        <v>13.713</v>
      </c>
      <c r="R166" s="114"/>
      <c r="S166" s="180"/>
      <c r="T166" s="63"/>
    </row>
    <row r="167" spans="1:20" ht="15.75">
      <c r="A167" s="36"/>
      <c r="B167" s="108"/>
      <c r="D167" s="136" t="s">
        <v>563</v>
      </c>
      <c r="E167" s="109"/>
      <c r="F167" s="113">
        <v>13.713</v>
      </c>
      <c r="G167" s="113">
        <v>13.713</v>
      </c>
      <c r="H167" s="113">
        <v>13.713</v>
      </c>
      <c r="I167" s="113">
        <v>13.713</v>
      </c>
      <c r="J167" s="113">
        <v>13.713</v>
      </c>
      <c r="K167" s="113">
        <v>13.713</v>
      </c>
      <c r="L167" s="113">
        <v>13.713</v>
      </c>
      <c r="M167" s="113">
        <v>13.713</v>
      </c>
      <c r="N167" s="113">
        <v>13.713</v>
      </c>
      <c r="O167" s="113">
        <v>13.713</v>
      </c>
      <c r="P167" s="113">
        <v>13.713</v>
      </c>
      <c r="Q167" s="113">
        <v>13.713</v>
      </c>
      <c r="R167" s="114"/>
      <c r="S167" s="180"/>
      <c r="T167" s="63"/>
    </row>
    <row r="168" spans="1:20" ht="15.75">
      <c r="A168" s="36"/>
      <c r="B168" s="108"/>
      <c r="D168" s="136" t="s">
        <v>685</v>
      </c>
      <c r="E168" s="109"/>
      <c r="F168" s="113">
        <v>13.80875</v>
      </c>
      <c r="G168" s="113">
        <v>13.80875</v>
      </c>
      <c r="H168" s="113">
        <v>13.80875</v>
      </c>
      <c r="I168" s="113">
        <v>13.80875</v>
      </c>
      <c r="J168" s="113">
        <v>13.80875</v>
      </c>
      <c r="K168" s="113">
        <v>13.80875</v>
      </c>
      <c r="L168" s="113">
        <v>13.80875</v>
      </c>
      <c r="M168" s="113">
        <v>13.80875</v>
      </c>
      <c r="N168" s="113">
        <v>13.80875</v>
      </c>
      <c r="O168" s="113">
        <v>13.80875</v>
      </c>
      <c r="P168" s="113">
        <v>13.80875</v>
      </c>
      <c r="Q168" s="113">
        <v>13.80875</v>
      </c>
      <c r="R168" s="114"/>
      <c r="S168" s="180"/>
      <c r="T168" s="63"/>
    </row>
    <row r="169" spans="1:20" ht="15.75">
      <c r="A169" s="36"/>
      <c r="B169" s="108"/>
      <c r="D169" s="136"/>
      <c r="E169" s="109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4"/>
      <c r="S169" s="180"/>
      <c r="T169" s="63"/>
    </row>
    <row r="170" spans="1:20" ht="15.75">
      <c r="A170" s="36"/>
      <c r="B170" s="108" t="s">
        <v>22</v>
      </c>
      <c r="D170" s="136" t="s">
        <v>562</v>
      </c>
      <c r="E170" s="109" t="s">
        <v>367</v>
      </c>
      <c r="F170" s="113">
        <f>F166*F162/100</f>
        <v>110.14596999</v>
      </c>
      <c r="G170" s="113">
        <f aca="true" t="shared" si="25" ref="G170:Q170">G166*G162/100</f>
        <v>108.00399938999999</v>
      </c>
      <c r="H170" s="113">
        <f t="shared" si="25"/>
        <v>98.62773564</v>
      </c>
      <c r="I170" s="113">
        <f t="shared" si="25"/>
        <v>115.29245888999999</v>
      </c>
      <c r="J170" s="113">
        <f t="shared" si="25"/>
        <v>89.88295553999998</v>
      </c>
      <c r="K170" s="113">
        <f t="shared" si="25"/>
        <v>103.3370541</v>
      </c>
      <c r="L170" s="113">
        <f t="shared" si="25"/>
        <v>110.18391344960999</v>
      </c>
      <c r="M170" s="113">
        <f t="shared" si="25"/>
        <v>107.52931923258001</v>
      </c>
      <c r="N170" s="113">
        <f t="shared" si="25"/>
        <v>129.20507985377998</v>
      </c>
      <c r="O170" s="113">
        <f t="shared" si="25"/>
        <v>129.05639294877</v>
      </c>
      <c r="P170" s="113">
        <f t="shared" si="25"/>
        <v>107.00487020999999</v>
      </c>
      <c r="Q170" s="113">
        <f t="shared" si="25"/>
        <v>122.36291898935998</v>
      </c>
      <c r="R170" s="145">
        <f>SUM(F170:Q170)</f>
        <v>1330.6326682341</v>
      </c>
      <c r="S170" s="161">
        <f>R170/12</f>
        <v>110.886055686175</v>
      </c>
      <c r="T170" s="145">
        <f>MAX(F170:Q170)</f>
        <v>129.20507985377998</v>
      </c>
    </row>
    <row r="171" spans="1:20" ht="15.75">
      <c r="A171" s="36"/>
      <c r="B171" s="108"/>
      <c r="D171" s="136" t="s">
        <v>563</v>
      </c>
      <c r="E171" s="109"/>
      <c r="F171" s="113">
        <f>F167*F163/100</f>
        <v>118.06472751401998</v>
      </c>
      <c r="G171" s="113">
        <f aca="true" t="shared" si="26" ref="G171:Q171">G167*G163/100</f>
        <v>109.90987614872998</v>
      </c>
      <c r="H171" s="113">
        <f t="shared" si="26"/>
        <v>100.88628621245998</v>
      </c>
      <c r="I171" s="113">
        <f t="shared" si="26"/>
        <v>107.56934871374999</v>
      </c>
      <c r="J171" s="113">
        <f t="shared" si="26"/>
        <v>104.68830994503</v>
      </c>
      <c r="K171" s="113">
        <f t="shared" si="26"/>
        <v>88.52444442093</v>
      </c>
      <c r="L171" s="113">
        <f>L167*L163/100</f>
        <v>126.748820184</v>
      </c>
      <c r="M171" s="113">
        <f t="shared" si="26"/>
        <v>126.748820184</v>
      </c>
      <c r="N171" s="113">
        <f t="shared" si="26"/>
        <v>126.748820184</v>
      </c>
      <c r="O171" s="113">
        <f t="shared" si="26"/>
        <v>126.748820184</v>
      </c>
      <c r="P171" s="113">
        <f t="shared" si="26"/>
        <v>126.748820184</v>
      </c>
      <c r="Q171" s="113">
        <f t="shared" si="26"/>
        <v>126.748820184</v>
      </c>
      <c r="R171" s="149">
        <f>SUM(F171:Q171)</f>
        <v>1390.1359140589198</v>
      </c>
      <c r="S171" s="173">
        <f>R171/12</f>
        <v>115.84465950490998</v>
      </c>
      <c r="T171" s="149">
        <f>MAX(F171:Q171)</f>
        <v>126.748820184</v>
      </c>
    </row>
    <row r="172" spans="1:20" ht="15.75">
      <c r="A172" s="36"/>
      <c r="B172" s="108"/>
      <c r="D172" s="136" t="s">
        <v>685</v>
      </c>
      <c r="E172" s="109"/>
      <c r="F172" s="113">
        <f>F168*F164/100</f>
        <v>125.2063157738</v>
      </c>
      <c r="G172" s="113">
        <f aca="true" t="shared" si="27" ref="G172:Q172">G168*G164/100</f>
        <v>125.2063157738</v>
      </c>
      <c r="H172" s="113">
        <f t="shared" si="27"/>
        <v>125.2063157738</v>
      </c>
      <c r="I172" s="113">
        <f t="shared" si="27"/>
        <v>125.2063157738</v>
      </c>
      <c r="J172" s="113">
        <f t="shared" si="27"/>
        <v>125.2063157738</v>
      </c>
      <c r="K172" s="113">
        <f t="shared" si="27"/>
        <v>125.2063157738</v>
      </c>
      <c r="L172" s="113">
        <f t="shared" si="27"/>
        <v>125.2063157738</v>
      </c>
      <c r="M172" s="113">
        <f t="shared" si="27"/>
        <v>125.2063157738</v>
      </c>
      <c r="N172" s="113">
        <f t="shared" si="27"/>
        <v>125.2063157738</v>
      </c>
      <c r="O172" s="113">
        <f t="shared" si="27"/>
        <v>125.2063157738</v>
      </c>
      <c r="P172" s="113">
        <f t="shared" si="27"/>
        <v>125.2063157738</v>
      </c>
      <c r="Q172" s="113">
        <f t="shared" si="27"/>
        <v>125.2063157738</v>
      </c>
      <c r="R172" s="149">
        <f>SUM(F172:Q172)</f>
        <v>1502.4757892856003</v>
      </c>
      <c r="S172" s="173">
        <f>R172/12</f>
        <v>125.20631577380003</v>
      </c>
      <c r="T172" s="149">
        <f>MAX(F172:Q172)</f>
        <v>125.2063157738</v>
      </c>
    </row>
    <row r="173" spans="1:20" ht="15.75">
      <c r="A173" s="36"/>
      <c r="B173" s="108"/>
      <c r="D173" s="136"/>
      <c r="E173" s="109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4"/>
      <c r="S173" s="180"/>
      <c r="T173" s="63"/>
    </row>
    <row r="174" spans="1:20" ht="15.75">
      <c r="A174" s="36"/>
      <c r="B174" s="108" t="s">
        <v>56</v>
      </c>
      <c r="C174" s="120"/>
      <c r="D174" s="136" t="s">
        <v>562</v>
      </c>
      <c r="E174" s="109" t="s">
        <v>367</v>
      </c>
      <c r="F174" s="113">
        <v>116.758</v>
      </c>
      <c r="G174" s="113">
        <v>115.409</v>
      </c>
      <c r="H174" s="113">
        <v>111.244</v>
      </c>
      <c r="I174" s="113">
        <v>122.591</v>
      </c>
      <c r="J174" s="113">
        <v>65.161</v>
      </c>
      <c r="K174" s="113">
        <v>113.63</v>
      </c>
      <c r="L174" s="113">
        <v>76.754</v>
      </c>
      <c r="M174" s="113">
        <v>47.285</v>
      </c>
      <c r="N174" s="113">
        <v>116.208</v>
      </c>
      <c r="O174" s="113">
        <v>115.692</v>
      </c>
      <c r="P174" s="113">
        <v>93.134</v>
      </c>
      <c r="Q174" s="113">
        <v>91.285</v>
      </c>
      <c r="R174" s="145">
        <f>SUM(F174:Q174)</f>
        <v>1185.151</v>
      </c>
      <c r="S174" s="161">
        <f>R174/12</f>
        <v>98.76258333333334</v>
      </c>
      <c r="T174" s="145">
        <f>MAX(F174:Q174)</f>
        <v>122.591</v>
      </c>
    </row>
    <row r="175" spans="1:20" ht="15.75">
      <c r="A175" s="36"/>
      <c r="B175" s="108"/>
      <c r="C175" s="120"/>
      <c r="D175" s="136" t="s">
        <v>563</v>
      </c>
      <c r="E175" s="109"/>
      <c r="F175" s="113">
        <v>127.123</v>
      </c>
      <c r="G175" s="113">
        <v>124.438</v>
      </c>
      <c r="H175" s="113">
        <v>106.203</v>
      </c>
      <c r="I175" s="113">
        <v>111.566</v>
      </c>
      <c r="J175" s="113">
        <v>102.626</v>
      </c>
      <c r="K175" s="113">
        <v>81.066</v>
      </c>
      <c r="L175" s="113">
        <f aca="true" t="shared" si="28" ref="L175:Q175">653.02/6</f>
        <v>108.83666666666666</v>
      </c>
      <c r="M175" s="113">
        <f t="shared" si="28"/>
        <v>108.83666666666666</v>
      </c>
      <c r="N175" s="113">
        <f t="shared" si="28"/>
        <v>108.83666666666666</v>
      </c>
      <c r="O175" s="113">
        <f t="shared" si="28"/>
        <v>108.83666666666666</v>
      </c>
      <c r="P175" s="113">
        <f t="shared" si="28"/>
        <v>108.83666666666666</v>
      </c>
      <c r="Q175" s="113">
        <f t="shared" si="28"/>
        <v>108.83666666666666</v>
      </c>
      <c r="R175" s="149">
        <f>SUM(F175:Q175)</f>
        <v>1306.042</v>
      </c>
      <c r="S175" s="173">
        <f>R175/12</f>
        <v>108.83683333333333</v>
      </c>
      <c r="T175" s="149">
        <f>MAX(F175:Q175)</f>
        <v>127.123</v>
      </c>
    </row>
    <row r="176" spans="1:20" ht="15.75">
      <c r="A176" s="36"/>
      <c r="B176" s="108"/>
      <c r="C176" s="120"/>
      <c r="D176" s="136" t="s">
        <v>685</v>
      </c>
      <c r="E176" s="109"/>
      <c r="F176" s="113">
        <f>F172*(1-0.021)</f>
        <v>122.5769831425502</v>
      </c>
      <c r="G176" s="113">
        <f aca="true" t="shared" si="29" ref="G176:Q176">G172*(1-0.021)</f>
        <v>122.5769831425502</v>
      </c>
      <c r="H176" s="113">
        <f t="shared" si="29"/>
        <v>122.5769831425502</v>
      </c>
      <c r="I176" s="113">
        <f t="shared" si="29"/>
        <v>122.5769831425502</v>
      </c>
      <c r="J176" s="113">
        <f t="shared" si="29"/>
        <v>122.5769831425502</v>
      </c>
      <c r="K176" s="113">
        <f t="shared" si="29"/>
        <v>122.5769831425502</v>
      </c>
      <c r="L176" s="113">
        <f t="shared" si="29"/>
        <v>122.5769831425502</v>
      </c>
      <c r="M176" s="113">
        <f t="shared" si="29"/>
        <v>122.5769831425502</v>
      </c>
      <c r="N176" s="113">
        <f t="shared" si="29"/>
        <v>122.5769831425502</v>
      </c>
      <c r="O176" s="113">
        <f>O172*(1-0.021)</f>
        <v>122.5769831425502</v>
      </c>
      <c r="P176" s="113">
        <f t="shared" si="29"/>
        <v>122.5769831425502</v>
      </c>
      <c r="Q176" s="113">
        <f t="shared" si="29"/>
        <v>122.5769831425502</v>
      </c>
      <c r="R176" s="149">
        <f>SUM(F176:Q176)</f>
        <v>1470.923797710603</v>
      </c>
      <c r="S176" s="173">
        <f>R176/12</f>
        <v>122.57698314255025</v>
      </c>
      <c r="T176" s="149">
        <f>MAX(F176:Q176)</f>
        <v>122.5769831425502</v>
      </c>
    </row>
    <row r="177" spans="1:20" ht="16.5" thickBot="1">
      <c r="A177" s="36"/>
      <c r="B177" s="108"/>
      <c r="C177" s="120"/>
      <c r="D177" s="167"/>
      <c r="E177" s="109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4"/>
      <c r="S177" s="180"/>
      <c r="T177" s="63"/>
    </row>
    <row r="178" spans="1:20" ht="32.25" thickBot="1">
      <c r="A178" s="36"/>
      <c r="B178" s="108" t="s">
        <v>18</v>
      </c>
      <c r="C178" s="120"/>
      <c r="D178" s="136" t="s">
        <v>562</v>
      </c>
      <c r="E178" s="109" t="s">
        <v>372</v>
      </c>
      <c r="F178" s="404">
        <v>81.71</v>
      </c>
      <c r="G178" s="405">
        <v>78.16</v>
      </c>
      <c r="H178" s="404">
        <v>77.83</v>
      </c>
      <c r="I178" s="404">
        <v>89.94</v>
      </c>
      <c r="J178" s="404">
        <v>77.7</v>
      </c>
      <c r="K178" s="404">
        <v>90.29</v>
      </c>
      <c r="L178" s="152">
        <v>100.19</v>
      </c>
      <c r="M178" s="152">
        <v>103.08</v>
      </c>
      <c r="N178" s="152">
        <v>104.84</v>
      </c>
      <c r="O178" s="152">
        <v>103.35</v>
      </c>
      <c r="P178" s="152">
        <v>102.57</v>
      </c>
      <c r="Q178" s="406">
        <v>102.54</v>
      </c>
      <c r="R178" s="114"/>
      <c r="S178" s="180"/>
      <c r="T178" s="112"/>
    </row>
    <row r="179" spans="1:20" ht="15.75">
      <c r="A179" s="36"/>
      <c r="B179" s="108"/>
      <c r="C179" s="120"/>
      <c r="D179" s="136" t="s">
        <v>563</v>
      </c>
      <c r="E179" s="109"/>
      <c r="F179" s="402">
        <v>89.68</v>
      </c>
      <c r="G179" s="403">
        <v>84.9</v>
      </c>
      <c r="H179" s="402">
        <v>75.18</v>
      </c>
      <c r="I179" s="402">
        <v>77.17</v>
      </c>
      <c r="J179" s="402">
        <v>70.06</v>
      </c>
      <c r="K179" s="402">
        <v>65.87</v>
      </c>
      <c r="L179" s="116">
        <f aca="true" t="shared" si="30" ref="L179:Q179">(L163/(1-6.93%))/(1.6*24*L$10)*100</f>
        <v>83.42742079900549</v>
      </c>
      <c r="M179" s="116">
        <f t="shared" si="30"/>
        <v>86.20833482563899</v>
      </c>
      <c r="N179" s="116">
        <f t="shared" si="30"/>
        <v>83.42742079900549</v>
      </c>
      <c r="O179" s="116">
        <f t="shared" si="30"/>
        <v>83.42742079900549</v>
      </c>
      <c r="P179" s="116">
        <f t="shared" si="30"/>
        <v>92.36607302747034</v>
      </c>
      <c r="Q179" s="116">
        <f t="shared" si="30"/>
        <v>83.42742079900549</v>
      </c>
      <c r="R179" s="114"/>
      <c r="S179" s="180"/>
      <c r="T179" s="112"/>
    </row>
    <row r="180" spans="1:20" ht="15.75">
      <c r="A180" s="36"/>
      <c r="B180" s="108"/>
      <c r="C180" s="120"/>
      <c r="D180" s="136" t="s">
        <v>685</v>
      </c>
      <c r="E180" s="109"/>
      <c r="F180" s="113">
        <v>83</v>
      </c>
      <c r="G180" s="113">
        <v>83</v>
      </c>
      <c r="H180" s="113">
        <v>83</v>
      </c>
      <c r="I180" s="113">
        <v>83</v>
      </c>
      <c r="J180" s="113">
        <v>83</v>
      </c>
      <c r="K180" s="113">
        <v>83</v>
      </c>
      <c r="L180" s="113">
        <v>83</v>
      </c>
      <c r="M180" s="113">
        <v>83</v>
      </c>
      <c r="N180" s="113">
        <v>83</v>
      </c>
      <c r="O180" s="113">
        <v>83</v>
      </c>
      <c r="P180" s="113">
        <v>83</v>
      </c>
      <c r="Q180" s="113">
        <v>83</v>
      </c>
      <c r="R180" s="113"/>
      <c r="S180" s="180"/>
      <c r="T180" s="112"/>
    </row>
    <row r="181" spans="1:20" ht="15.75">
      <c r="A181" s="36"/>
      <c r="B181" s="108"/>
      <c r="C181" s="120"/>
      <c r="D181" s="136"/>
      <c r="E181" s="109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4"/>
      <c r="S181" s="180"/>
      <c r="T181" s="63"/>
    </row>
    <row r="182" spans="1:20" ht="15.75">
      <c r="A182" s="36">
        <v>14</v>
      </c>
      <c r="B182" s="108" t="s">
        <v>596</v>
      </c>
      <c r="D182" s="136"/>
      <c r="E182" s="109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4"/>
      <c r="S182" s="180"/>
      <c r="T182" s="63"/>
    </row>
    <row r="183" spans="1:20" ht="31.5">
      <c r="A183" s="36"/>
      <c r="B183" s="108" t="s">
        <v>27</v>
      </c>
      <c r="D183" s="136" t="s">
        <v>562</v>
      </c>
      <c r="E183" s="109" t="s">
        <v>367</v>
      </c>
      <c r="F183" s="113">
        <v>124.11</v>
      </c>
      <c r="G183" s="113">
        <v>238.669</v>
      </c>
      <c r="H183" s="113">
        <v>292.878</v>
      </c>
      <c r="I183" s="113">
        <v>273.638</v>
      </c>
      <c r="J183" s="113">
        <v>239.428</v>
      </c>
      <c r="K183" s="113">
        <v>269.089</v>
      </c>
      <c r="L183" s="113">
        <v>261.629021</v>
      </c>
      <c r="M183" s="113">
        <v>240.166709</v>
      </c>
      <c r="N183" s="113">
        <v>314.499416</v>
      </c>
      <c r="O183" s="113">
        <v>297.358224</v>
      </c>
      <c r="P183" s="113">
        <v>244.125581</v>
      </c>
      <c r="Q183" s="113">
        <v>288.05835</v>
      </c>
      <c r="R183" s="145">
        <f>SUM(F183:Q183)</f>
        <v>3083.6493010000004</v>
      </c>
      <c r="S183" s="161">
        <f>R183/12</f>
        <v>256.97077508333336</v>
      </c>
      <c r="T183" s="145">
        <f>MAX(F183:Q183)</f>
        <v>314.499416</v>
      </c>
    </row>
    <row r="184" spans="1:20" ht="15.75">
      <c r="A184" s="36"/>
      <c r="B184" s="108"/>
      <c r="D184" s="136" t="s">
        <v>563</v>
      </c>
      <c r="E184" s="109"/>
      <c r="F184" s="113">
        <v>121.369254</v>
      </c>
      <c r="G184" s="113">
        <v>285.86386</v>
      </c>
      <c r="H184" s="113">
        <v>240.233748</v>
      </c>
      <c r="I184" s="113">
        <v>280.610785</v>
      </c>
      <c r="J184" s="113">
        <v>260.930296</v>
      </c>
      <c r="K184" s="113">
        <v>234.421182</v>
      </c>
      <c r="L184" s="113">
        <f aca="true" t="shared" si="31" ref="L184:Q184">(500*0.85*8.76*0.935)/12</f>
        <v>290.08375</v>
      </c>
      <c r="M184" s="113">
        <f t="shared" si="31"/>
        <v>290.08375</v>
      </c>
      <c r="N184" s="113">
        <f t="shared" si="31"/>
        <v>290.08375</v>
      </c>
      <c r="O184" s="113">
        <f t="shared" si="31"/>
        <v>290.08375</v>
      </c>
      <c r="P184" s="113">
        <f t="shared" si="31"/>
        <v>290.08375</v>
      </c>
      <c r="Q184" s="113">
        <f t="shared" si="31"/>
        <v>290.08375</v>
      </c>
      <c r="R184" s="149">
        <f>SUM(F184:Q184)</f>
        <v>3163.9316249999993</v>
      </c>
      <c r="S184" s="173">
        <f>R184/12</f>
        <v>263.66096874999994</v>
      </c>
      <c r="T184" s="149">
        <f>MAX(F184:Q184)</f>
        <v>290.08375</v>
      </c>
    </row>
    <row r="185" spans="1:20" ht="15.75">
      <c r="A185" s="36"/>
      <c r="B185" s="108"/>
      <c r="D185" s="136" t="s">
        <v>685</v>
      </c>
      <c r="E185" s="109"/>
      <c r="F185" s="113">
        <f>(500*0.83*8.76*0.9425)/12</f>
        <v>285.530375</v>
      </c>
      <c r="G185" s="113">
        <f aca="true" t="shared" si="32" ref="G185:Q185">(500*0.83*8.76*0.9425)/12</f>
        <v>285.530375</v>
      </c>
      <c r="H185" s="113">
        <f t="shared" si="32"/>
        <v>285.530375</v>
      </c>
      <c r="I185" s="113">
        <f t="shared" si="32"/>
        <v>285.530375</v>
      </c>
      <c r="J185" s="113">
        <f t="shared" si="32"/>
        <v>285.530375</v>
      </c>
      <c r="K185" s="113">
        <f t="shared" si="32"/>
        <v>285.530375</v>
      </c>
      <c r="L185" s="113">
        <f t="shared" si="32"/>
        <v>285.530375</v>
      </c>
      <c r="M185" s="113">
        <f t="shared" si="32"/>
        <v>285.530375</v>
      </c>
      <c r="N185" s="113">
        <f t="shared" si="32"/>
        <v>285.530375</v>
      </c>
      <c r="O185" s="113">
        <f t="shared" si="32"/>
        <v>285.530375</v>
      </c>
      <c r="P185" s="113">
        <f t="shared" si="32"/>
        <v>285.530375</v>
      </c>
      <c r="Q185" s="113">
        <f t="shared" si="32"/>
        <v>285.530375</v>
      </c>
      <c r="R185" s="149">
        <f>SUM(F185:Q185)</f>
        <v>3426.364499999999</v>
      </c>
      <c r="S185" s="173">
        <f>R185/12</f>
        <v>285.53037499999994</v>
      </c>
      <c r="T185" s="149">
        <f>MAX(F185:Q185)</f>
        <v>285.530375</v>
      </c>
    </row>
    <row r="186" spans="1:20" ht="15.75">
      <c r="A186" s="36"/>
      <c r="B186" s="108"/>
      <c r="D186" s="136"/>
      <c r="E186" s="109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4"/>
      <c r="S186" s="180"/>
      <c r="T186" s="63"/>
    </row>
    <row r="187" spans="1:20" ht="15.75">
      <c r="A187" s="36"/>
      <c r="B187" s="108" t="s">
        <v>22</v>
      </c>
      <c r="D187" s="136" t="s">
        <v>562</v>
      </c>
      <c r="E187" s="109" t="s">
        <v>372</v>
      </c>
      <c r="F187" s="113">
        <v>22.701</v>
      </c>
      <c r="G187" s="113">
        <v>22.701</v>
      </c>
      <c r="H187" s="113">
        <v>22.701</v>
      </c>
      <c r="I187" s="113">
        <v>22.701</v>
      </c>
      <c r="J187" s="113">
        <v>22.701</v>
      </c>
      <c r="K187" s="113">
        <v>22.701</v>
      </c>
      <c r="L187" s="113">
        <v>22.701</v>
      </c>
      <c r="M187" s="113">
        <v>22.701</v>
      </c>
      <c r="N187" s="113">
        <v>22.701</v>
      </c>
      <c r="O187" s="113">
        <v>22.701</v>
      </c>
      <c r="P187" s="113">
        <v>22.701</v>
      </c>
      <c r="Q187" s="113">
        <v>22.701</v>
      </c>
      <c r="R187" s="114"/>
      <c r="S187" s="180"/>
      <c r="T187" s="63"/>
    </row>
    <row r="188" spans="1:20" ht="15.75">
      <c r="A188" s="36"/>
      <c r="B188" s="108"/>
      <c r="D188" s="136" t="s">
        <v>563</v>
      </c>
      <c r="E188" s="109"/>
      <c r="F188" s="113">
        <v>22.701</v>
      </c>
      <c r="G188" s="113">
        <v>22.701</v>
      </c>
      <c r="H188" s="113">
        <v>22.701</v>
      </c>
      <c r="I188" s="113">
        <v>22.701</v>
      </c>
      <c r="J188" s="113">
        <v>22.701</v>
      </c>
      <c r="K188" s="113">
        <v>22.701</v>
      </c>
      <c r="L188" s="113">
        <v>22.701</v>
      </c>
      <c r="M188" s="113">
        <v>22.701</v>
      </c>
      <c r="N188" s="113">
        <v>22.701</v>
      </c>
      <c r="O188" s="113">
        <v>22.701</v>
      </c>
      <c r="P188" s="113">
        <v>22.701</v>
      </c>
      <c r="Q188" s="113">
        <v>22.701</v>
      </c>
      <c r="R188" s="114"/>
      <c r="S188" s="180"/>
      <c r="T188" s="63"/>
    </row>
    <row r="189" spans="1:20" ht="15.75">
      <c r="A189" s="36"/>
      <c r="B189" s="108"/>
      <c r="D189" s="136" t="s">
        <v>685</v>
      </c>
      <c r="E189" s="109"/>
      <c r="F189" s="113">
        <v>16.874</v>
      </c>
      <c r="G189" s="113">
        <v>16.874</v>
      </c>
      <c r="H189" s="113">
        <v>16.874</v>
      </c>
      <c r="I189" s="113">
        <v>16.874</v>
      </c>
      <c r="J189" s="113">
        <v>16.874</v>
      </c>
      <c r="K189" s="113">
        <v>16.874</v>
      </c>
      <c r="L189" s="113">
        <v>16.874</v>
      </c>
      <c r="M189" s="113">
        <v>16.874</v>
      </c>
      <c r="N189" s="113">
        <v>16.874</v>
      </c>
      <c r="O189" s="113">
        <v>16.874</v>
      </c>
      <c r="P189" s="113">
        <v>16.874</v>
      </c>
      <c r="Q189" s="113">
        <v>16.874</v>
      </c>
      <c r="R189" s="114"/>
      <c r="S189" s="180"/>
      <c r="T189" s="63"/>
    </row>
    <row r="190" spans="1:20" ht="15.75">
      <c r="A190" s="36"/>
      <c r="B190" s="108"/>
      <c r="D190" s="136"/>
      <c r="E190" s="109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4"/>
      <c r="S190" s="180"/>
      <c r="T190" s="63"/>
    </row>
    <row r="191" spans="1:20" ht="15.75">
      <c r="A191" s="36"/>
      <c r="B191" s="108" t="s">
        <v>22</v>
      </c>
      <c r="D191" s="136" t="s">
        <v>562</v>
      </c>
      <c r="E191" s="109" t="s">
        <v>367</v>
      </c>
      <c r="F191" s="113">
        <f>F187*F183/100</f>
        <v>28.1742111</v>
      </c>
      <c r="G191" s="113">
        <f aca="true" t="shared" si="33" ref="G191:O191">G187*G183/100</f>
        <v>54.180249690000004</v>
      </c>
      <c r="H191" s="113">
        <f t="shared" si="33"/>
        <v>66.48623477999999</v>
      </c>
      <c r="I191" s="113">
        <f t="shared" si="33"/>
        <v>62.11856237999999</v>
      </c>
      <c r="J191" s="113">
        <f t="shared" si="33"/>
        <v>54.35255028</v>
      </c>
      <c r="K191" s="113">
        <f t="shared" si="33"/>
        <v>61.085893889999994</v>
      </c>
      <c r="L191" s="113">
        <f t="shared" si="33"/>
        <v>59.39240405721001</v>
      </c>
      <c r="M191" s="113">
        <f t="shared" si="33"/>
        <v>54.52024461009</v>
      </c>
      <c r="N191" s="113">
        <f t="shared" si="33"/>
        <v>71.39451242616</v>
      </c>
      <c r="O191" s="113">
        <f t="shared" si="33"/>
        <v>67.50329043024</v>
      </c>
      <c r="P191" s="113">
        <f aca="true" t="shared" si="34" ref="P191:Q193">P187*P183/100</f>
        <v>55.41894814281</v>
      </c>
      <c r="Q191" s="113">
        <f t="shared" si="34"/>
        <v>65.3921260335</v>
      </c>
      <c r="R191" s="145">
        <f>SUM(F191:Q191)</f>
        <v>700.01922782001</v>
      </c>
      <c r="S191" s="161">
        <f>R191/12</f>
        <v>58.3349356516675</v>
      </c>
      <c r="T191" s="145">
        <f>MAX(F191:Q191)</f>
        <v>71.39451242616</v>
      </c>
    </row>
    <row r="192" spans="1:20" ht="15.75">
      <c r="A192" s="36"/>
      <c r="B192" s="108"/>
      <c r="D192" s="136" t="s">
        <v>563</v>
      </c>
      <c r="E192" s="109"/>
      <c r="F192" s="113">
        <f aca="true" t="shared" si="35" ref="F192:O193">F188*F184/100</f>
        <v>27.55203435054</v>
      </c>
      <c r="G192" s="113">
        <f t="shared" si="35"/>
        <v>64.8939548586</v>
      </c>
      <c r="H192" s="113">
        <f t="shared" si="35"/>
        <v>54.53546313348</v>
      </c>
      <c r="I192" s="113">
        <f t="shared" si="35"/>
        <v>63.70145430285001</v>
      </c>
      <c r="J192" s="113">
        <f t="shared" si="35"/>
        <v>59.23378649496001</v>
      </c>
      <c r="K192" s="113">
        <f t="shared" si="35"/>
        <v>53.21595252582</v>
      </c>
      <c r="L192" s="113">
        <f t="shared" si="35"/>
        <v>65.85191208750001</v>
      </c>
      <c r="M192" s="113">
        <f t="shared" si="35"/>
        <v>65.85191208750001</v>
      </c>
      <c r="N192" s="113">
        <f t="shared" si="35"/>
        <v>65.85191208750001</v>
      </c>
      <c r="O192" s="113">
        <f t="shared" si="35"/>
        <v>65.85191208750001</v>
      </c>
      <c r="P192" s="113">
        <f t="shared" si="34"/>
        <v>65.85191208750001</v>
      </c>
      <c r="Q192" s="113">
        <f t="shared" si="34"/>
        <v>65.85191208750001</v>
      </c>
      <c r="R192" s="149">
        <f>SUM(F192:Q192)</f>
        <v>718.2441181912502</v>
      </c>
      <c r="S192" s="173">
        <f>R192/12</f>
        <v>59.853676515937515</v>
      </c>
      <c r="T192" s="149">
        <f>MAX(F192:Q192)</f>
        <v>65.85191208750001</v>
      </c>
    </row>
    <row r="193" spans="1:20" ht="15.75">
      <c r="A193" s="36"/>
      <c r="B193" s="108"/>
      <c r="D193" s="136" t="s">
        <v>685</v>
      </c>
      <c r="E193" s="109"/>
      <c r="F193" s="113">
        <f t="shared" si="35"/>
        <v>48.1803954775</v>
      </c>
      <c r="G193" s="113">
        <f t="shared" si="35"/>
        <v>48.1803954775</v>
      </c>
      <c r="H193" s="113">
        <f t="shared" si="35"/>
        <v>48.1803954775</v>
      </c>
      <c r="I193" s="113">
        <f t="shared" si="35"/>
        <v>48.1803954775</v>
      </c>
      <c r="J193" s="113">
        <f t="shared" si="35"/>
        <v>48.1803954775</v>
      </c>
      <c r="K193" s="113">
        <f t="shared" si="35"/>
        <v>48.1803954775</v>
      </c>
      <c r="L193" s="113">
        <f t="shared" si="35"/>
        <v>48.1803954775</v>
      </c>
      <c r="M193" s="113">
        <f t="shared" si="35"/>
        <v>48.1803954775</v>
      </c>
      <c r="N193" s="113">
        <f t="shared" si="35"/>
        <v>48.1803954775</v>
      </c>
      <c r="O193" s="113">
        <f t="shared" si="35"/>
        <v>48.1803954775</v>
      </c>
      <c r="P193" s="113">
        <f t="shared" si="34"/>
        <v>48.1803954775</v>
      </c>
      <c r="Q193" s="113">
        <f t="shared" si="34"/>
        <v>48.1803954775</v>
      </c>
      <c r="R193" s="149">
        <f>SUM(F193:Q193)</f>
        <v>578.1647457299999</v>
      </c>
      <c r="S193" s="173">
        <f>R193/12</f>
        <v>48.18039547749999</v>
      </c>
      <c r="T193" s="149">
        <f>MAX(F193:Q193)</f>
        <v>48.1803954775</v>
      </c>
    </row>
    <row r="194" spans="1:20" ht="15.75">
      <c r="A194" s="36"/>
      <c r="B194" s="108"/>
      <c r="D194" s="136"/>
      <c r="E194" s="109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4"/>
      <c r="S194" s="180"/>
      <c r="T194" s="63"/>
    </row>
    <row r="195" spans="1:20" ht="15.75">
      <c r="A195" s="36"/>
      <c r="B195" s="108" t="s">
        <v>56</v>
      </c>
      <c r="C195" s="120"/>
      <c r="D195" s="136" t="s">
        <v>562</v>
      </c>
      <c r="E195" s="109" t="s">
        <v>367</v>
      </c>
      <c r="F195" s="113">
        <v>3.685</v>
      </c>
      <c r="G195" s="113">
        <v>77.931</v>
      </c>
      <c r="H195" s="113">
        <v>94.976</v>
      </c>
      <c r="I195" s="113">
        <v>77.035</v>
      </c>
      <c r="J195" s="113">
        <v>53.547</v>
      </c>
      <c r="K195" s="113">
        <v>75.325</v>
      </c>
      <c r="L195" s="113">
        <v>60.277</v>
      </c>
      <c r="M195" s="113">
        <v>43.661</v>
      </c>
      <c r="N195" s="113">
        <v>73.729</v>
      </c>
      <c r="O195" s="113">
        <v>71.955</v>
      </c>
      <c r="P195" s="113">
        <v>59.085</v>
      </c>
      <c r="Q195" s="113">
        <v>59.453</v>
      </c>
      <c r="R195" s="145">
        <f>SUM(F195:Q195)</f>
        <v>750.659</v>
      </c>
      <c r="S195" s="161">
        <f>R195/12</f>
        <v>62.554916666666664</v>
      </c>
      <c r="T195" s="145">
        <f>MAX(F195:Q195)</f>
        <v>94.976</v>
      </c>
    </row>
    <row r="196" spans="1:20" ht="15.75">
      <c r="A196" s="36"/>
      <c r="B196" s="108"/>
      <c r="C196" s="120"/>
      <c r="D196" s="136" t="s">
        <v>563</v>
      </c>
      <c r="E196" s="109"/>
      <c r="F196" s="113">
        <v>30.641</v>
      </c>
      <c r="G196" s="113">
        <v>83.313</v>
      </c>
      <c r="H196" s="113">
        <v>67.738</v>
      </c>
      <c r="I196" s="113">
        <v>76.703</v>
      </c>
      <c r="J196" s="113">
        <v>69.949</v>
      </c>
      <c r="K196" s="113">
        <v>36.614</v>
      </c>
      <c r="L196" s="113">
        <f aca="true" t="shared" si="36" ref="L196:Q196">364.96/6</f>
        <v>60.82666666666666</v>
      </c>
      <c r="M196" s="113">
        <f t="shared" si="36"/>
        <v>60.82666666666666</v>
      </c>
      <c r="N196" s="113">
        <f t="shared" si="36"/>
        <v>60.82666666666666</v>
      </c>
      <c r="O196" s="113">
        <f t="shared" si="36"/>
        <v>60.82666666666666</v>
      </c>
      <c r="P196" s="113">
        <f t="shared" si="36"/>
        <v>60.82666666666666</v>
      </c>
      <c r="Q196" s="113">
        <f t="shared" si="36"/>
        <v>60.82666666666666</v>
      </c>
      <c r="R196" s="149">
        <f>SUM(F196:Q196)</f>
        <v>729.9180000000001</v>
      </c>
      <c r="S196" s="173">
        <f>R196/12</f>
        <v>60.82650000000001</v>
      </c>
      <c r="T196" s="149">
        <f>MAX(F196:Q196)</f>
        <v>83.313</v>
      </c>
    </row>
    <row r="197" spans="1:20" ht="15.75">
      <c r="A197" s="36"/>
      <c r="B197" s="108"/>
      <c r="C197" s="120"/>
      <c r="D197" s="136" t="s">
        <v>685</v>
      </c>
      <c r="E197" s="109"/>
      <c r="F197" s="113">
        <f>F193*(1-0.021)</f>
        <v>47.1686071724725</v>
      </c>
      <c r="G197" s="113">
        <f aca="true" t="shared" si="37" ref="G197:Q197">G193*(1-0.021)</f>
        <v>47.1686071724725</v>
      </c>
      <c r="H197" s="113">
        <f t="shared" si="37"/>
        <v>47.1686071724725</v>
      </c>
      <c r="I197" s="113">
        <f t="shared" si="37"/>
        <v>47.1686071724725</v>
      </c>
      <c r="J197" s="113">
        <f t="shared" si="37"/>
        <v>47.1686071724725</v>
      </c>
      <c r="K197" s="113">
        <f t="shared" si="37"/>
        <v>47.1686071724725</v>
      </c>
      <c r="L197" s="113">
        <f t="shared" si="37"/>
        <v>47.1686071724725</v>
      </c>
      <c r="M197" s="113">
        <f t="shared" si="37"/>
        <v>47.1686071724725</v>
      </c>
      <c r="N197" s="113">
        <f t="shared" si="37"/>
        <v>47.1686071724725</v>
      </c>
      <c r="O197" s="113">
        <f t="shared" si="37"/>
        <v>47.1686071724725</v>
      </c>
      <c r="P197" s="113">
        <f t="shared" si="37"/>
        <v>47.1686071724725</v>
      </c>
      <c r="Q197" s="113">
        <f t="shared" si="37"/>
        <v>47.1686071724725</v>
      </c>
      <c r="R197" s="149">
        <f>SUM(F197:Q197)</f>
        <v>566.02328606967</v>
      </c>
      <c r="S197" s="173">
        <f>R197/12</f>
        <v>47.1686071724725</v>
      </c>
      <c r="T197" s="149">
        <f>MAX(F197:Q197)</f>
        <v>47.1686071724725</v>
      </c>
    </row>
    <row r="198" spans="1:20" ht="15.75">
      <c r="A198" s="36"/>
      <c r="B198" s="108"/>
      <c r="C198" s="120"/>
      <c r="D198" s="136"/>
      <c r="E198" s="109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4"/>
      <c r="S198" s="180"/>
      <c r="T198" s="63"/>
    </row>
    <row r="199" spans="1:20" ht="31.5">
      <c r="A199" s="36"/>
      <c r="B199" s="108" t="s">
        <v>18</v>
      </c>
      <c r="C199" s="120"/>
      <c r="D199" s="136" t="s">
        <v>562</v>
      </c>
      <c r="E199" s="109" t="s">
        <v>372</v>
      </c>
      <c r="F199" s="113">
        <v>3.72</v>
      </c>
      <c r="G199" s="113">
        <v>76.06</v>
      </c>
      <c r="H199" s="113">
        <v>95.77</v>
      </c>
      <c r="I199" s="113">
        <v>85.74</v>
      </c>
      <c r="J199" s="113">
        <v>87.68</v>
      </c>
      <c r="K199" s="113">
        <v>97.66</v>
      </c>
      <c r="L199" s="113">
        <v>99.52</v>
      </c>
      <c r="M199" s="113">
        <v>100.14</v>
      </c>
      <c r="N199" s="113">
        <v>101.87</v>
      </c>
      <c r="O199" s="113">
        <v>98.71</v>
      </c>
      <c r="P199" s="113">
        <v>92.05</v>
      </c>
      <c r="Q199" s="113">
        <v>102.03</v>
      </c>
      <c r="R199" s="114"/>
      <c r="S199" s="180"/>
      <c r="T199" s="112"/>
    </row>
    <row r="200" spans="1:20" ht="15.75">
      <c r="A200" s="36">
        <v>15</v>
      </c>
      <c r="B200" s="108"/>
      <c r="D200" s="136" t="s">
        <v>563</v>
      </c>
      <c r="E200" s="109"/>
      <c r="F200" s="113">
        <v>37.86</v>
      </c>
      <c r="G200" s="113">
        <v>92.91</v>
      </c>
      <c r="H200" s="113">
        <v>78.86</v>
      </c>
      <c r="I200" s="113">
        <v>85.34</v>
      </c>
      <c r="J200" s="113">
        <v>76.73</v>
      </c>
      <c r="K200" s="113">
        <v>74.02</v>
      </c>
      <c r="L200" s="113">
        <f aca="true" t="shared" si="38" ref="L200:Q200">(L184/(1-6.5%))/(0.5*24*L$10)*100</f>
        <v>83.40053763440861</v>
      </c>
      <c r="M200" s="113">
        <f t="shared" si="38"/>
        <v>86.18055555555556</v>
      </c>
      <c r="N200" s="113">
        <f t="shared" si="38"/>
        <v>83.40053763440861</v>
      </c>
      <c r="O200" s="113">
        <f t="shared" si="38"/>
        <v>83.40053763440861</v>
      </c>
      <c r="P200" s="113">
        <f t="shared" si="38"/>
        <v>92.33630952380952</v>
      </c>
      <c r="Q200" s="113">
        <f t="shared" si="38"/>
        <v>83.40053763440861</v>
      </c>
      <c r="R200" s="114"/>
      <c r="S200" s="180"/>
      <c r="T200" s="112"/>
    </row>
    <row r="201" spans="1:20" ht="15.75">
      <c r="A201" s="36"/>
      <c r="B201" s="108"/>
      <c r="D201" s="136" t="s">
        <v>685</v>
      </c>
      <c r="E201" s="109"/>
      <c r="F201" s="113">
        <v>83</v>
      </c>
      <c r="G201" s="113">
        <v>83</v>
      </c>
      <c r="H201" s="113">
        <v>83</v>
      </c>
      <c r="I201" s="113">
        <v>83</v>
      </c>
      <c r="J201" s="113">
        <v>83</v>
      </c>
      <c r="K201" s="113">
        <v>83</v>
      </c>
      <c r="L201" s="113">
        <v>83</v>
      </c>
      <c r="M201" s="113">
        <v>83</v>
      </c>
      <c r="N201" s="113">
        <v>83</v>
      </c>
      <c r="O201" s="113">
        <v>83</v>
      </c>
      <c r="P201" s="113">
        <v>83</v>
      </c>
      <c r="Q201" s="113">
        <v>83</v>
      </c>
      <c r="R201" s="114"/>
      <c r="S201" s="180"/>
      <c r="T201" s="112"/>
    </row>
    <row r="202" spans="1:20" ht="15.75">
      <c r="A202" s="36"/>
      <c r="B202" s="108"/>
      <c r="D202" s="167"/>
      <c r="E202" s="109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4"/>
      <c r="S202" s="180"/>
      <c r="T202" s="63"/>
    </row>
    <row r="203" spans="1:20" ht="15.75">
      <c r="A203" s="36"/>
      <c r="B203" s="108" t="s">
        <v>57</v>
      </c>
      <c r="D203" s="167"/>
      <c r="E203" s="109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4"/>
      <c r="S203" s="180"/>
      <c r="T203" s="63"/>
    </row>
    <row r="204" spans="1:20" ht="31.5">
      <c r="A204" s="36"/>
      <c r="B204" s="108" t="s">
        <v>27</v>
      </c>
      <c r="D204" s="136" t="s">
        <v>562</v>
      </c>
      <c r="E204" s="109" t="s">
        <v>367</v>
      </c>
      <c r="F204" s="113">
        <v>533.974</v>
      </c>
      <c r="G204" s="113">
        <v>613.13</v>
      </c>
      <c r="H204" s="113">
        <v>621.752</v>
      </c>
      <c r="I204" s="113">
        <v>633.457</v>
      </c>
      <c r="J204" s="113">
        <v>573.914</v>
      </c>
      <c r="K204" s="113">
        <v>412.957</v>
      </c>
      <c r="L204" s="113">
        <v>267.259035</v>
      </c>
      <c r="M204" s="113">
        <f>(1000*8.76*0.85*0.935)/12</f>
        <v>580.1675</v>
      </c>
      <c r="N204" s="113">
        <v>597.522475</v>
      </c>
      <c r="O204" s="113">
        <v>682.505</v>
      </c>
      <c r="P204" s="113">
        <v>620.644629</v>
      </c>
      <c r="Q204" s="113">
        <v>659.742361</v>
      </c>
      <c r="R204" s="145">
        <f>SUM(F204:Q204)</f>
        <v>6797.025</v>
      </c>
      <c r="S204" s="161">
        <f>R204/12</f>
        <v>566.4187499999999</v>
      </c>
      <c r="T204" s="145">
        <f>MAX(F204:Q204)</f>
        <v>682.505</v>
      </c>
    </row>
    <row r="205" spans="1:20" ht="15.75">
      <c r="A205" s="36"/>
      <c r="B205" s="108"/>
      <c r="D205" s="136" t="s">
        <v>563</v>
      </c>
      <c r="E205" s="109"/>
      <c r="F205" s="113">
        <v>627.032062</v>
      </c>
      <c r="G205" s="113">
        <v>645.626493</v>
      </c>
      <c r="H205" s="113">
        <v>593.730124</v>
      </c>
      <c r="I205" s="113">
        <v>587.846524</v>
      </c>
      <c r="J205" s="113">
        <v>343.854107</v>
      </c>
      <c r="K205" s="113">
        <v>366.440534</v>
      </c>
      <c r="L205" s="113">
        <f aca="true" t="shared" si="39" ref="L205:Q205">(1000*0.85*8.76*0.935)/12</f>
        <v>580.1675</v>
      </c>
      <c r="M205" s="113">
        <f t="shared" si="39"/>
        <v>580.1675</v>
      </c>
      <c r="N205" s="113">
        <f t="shared" si="39"/>
        <v>580.1675</v>
      </c>
      <c r="O205" s="113">
        <f t="shared" si="39"/>
        <v>580.1675</v>
      </c>
      <c r="P205" s="113">
        <f t="shared" si="39"/>
        <v>580.1675</v>
      </c>
      <c r="Q205" s="113">
        <f t="shared" si="39"/>
        <v>580.1675</v>
      </c>
      <c r="R205" s="149">
        <f>SUM(F205:Q205)</f>
        <v>6645.534843999998</v>
      </c>
      <c r="S205" s="173">
        <f>R205/12</f>
        <v>553.7945703333331</v>
      </c>
      <c r="T205" s="149">
        <f>MAX(F205:Q205)</f>
        <v>645.626493</v>
      </c>
    </row>
    <row r="206" spans="1:20" ht="15.75">
      <c r="A206" s="36"/>
      <c r="B206" s="108"/>
      <c r="D206" s="136" t="s">
        <v>685</v>
      </c>
      <c r="E206" s="109"/>
      <c r="F206" s="113">
        <f>(1000*8.76*0.83*0.9425)/12</f>
        <v>571.06075</v>
      </c>
      <c r="G206" s="113">
        <f aca="true" t="shared" si="40" ref="G206:Q206">(1000*8.76*0.83*0.9425)/12</f>
        <v>571.06075</v>
      </c>
      <c r="H206" s="113">
        <f t="shared" si="40"/>
        <v>571.06075</v>
      </c>
      <c r="I206" s="113">
        <f t="shared" si="40"/>
        <v>571.06075</v>
      </c>
      <c r="J206" s="113">
        <f t="shared" si="40"/>
        <v>571.06075</v>
      </c>
      <c r="K206" s="113">
        <f t="shared" si="40"/>
        <v>571.06075</v>
      </c>
      <c r="L206" s="113">
        <f t="shared" si="40"/>
        <v>571.06075</v>
      </c>
      <c r="M206" s="113">
        <f t="shared" si="40"/>
        <v>571.06075</v>
      </c>
      <c r="N206" s="113">
        <f t="shared" si="40"/>
        <v>571.06075</v>
      </c>
      <c r="O206" s="113">
        <f t="shared" si="40"/>
        <v>571.06075</v>
      </c>
      <c r="P206" s="113">
        <f t="shared" si="40"/>
        <v>571.06075</v>
      </c>
      <c r="Q206" s="113">
        <f t="shared" si="40"/>
        <v>571.06075</v>
      </c>
      <c r="R206" s="149">
        <f>SUM(F206:Q206)</f>
        <v>6852.728999999998</v>
      </c>
      <c r="S206" s="173">
        <f>R206/12</f>
        <v>571.0607499999999</v>
      </c>
      <c r="T206" s="149">
        <f>MAX(F206:Q206)</f>
        <v>571.06075</v>
      </c>
    </row>
    <row r="207" spans="1:20" ht="15.75">
      <c r="A207" s="36"/>
      <c r="B207" s="108"/>
      <c r="D207" s="136"/>
      <c r="E207" s="109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4"/>
      <c r="S207" s="180"/>
      <c r="T207" s="63"/>
    </row>
    <row r="208" spans="1:20" ht="15.75">
      <c r="A208" s="36"/>
      <c r="B208" s="108" t="s">
        <v>22</v>
      </c>
      <c r="D208" s="136" t="s">
        <v>562</v>
      </c>
      <c r="E208" s="109" t="s">
        <v>372</v>
      </c>
      <c r="F208" s="113">
        <v>31.883</v>
      </c>
      <c r="G208" s="113">
        <v>31.883</v>
      </c>
      <c r="H208" s="113">
        <v>31.883</v>
      </c>
      <c r="I208" s="113">
        <v>31.883</v>
      </c>
      <c r="J208" s="113">
        <v>31.883</v>
      </c>
      <c r="K208" s="113">
        <v>31.883</v>
      </c>
      <c r="L208" s="113">
        <v>31.883</v>
      </c>
      <c r="M208" s="113">
        <v>31.883</v>
      </c>
      <c r="N208" s="113">
        <v>31.883</v>
      </c>
      <c r="O208" s="113">
        <v>31.883</v>
      </c>
      <c r="P208" s="113">
        <v>31.883</v>
      </c>
      <c r="Q208" s="113">
        <v>31.883</v>
      </c>
      <c r="R208" s="114"/>
      <c r="S208" s="180"/>
      <c r="T208" s="63"/>
    </row>
    <row r="209" spans="1:20" ht="15.75">
      <c r="A209" s="36"/>
      <c r="B209" s="108"/>
      <c r="D209" s="136" t="s">
        <v>563</v>
      </c>
      <c r="E209" s="109"/>
      <c r="F209" s="113">
        <v>31.883</v>
      </c>
      <c r="G209" s="113">
        <v>31.883</v>
      </c>
      <c r="H209" s="113">
        <v>31.883</v>
      </c>
      <c r="I209" s="113">
        <v>31.883</v>
      </c>
      <c r="J209" s="113">
        <v>31.883</v>
      </c>
      <c r="K209" s="113">
        <v>31.883</v>
      </c>
      <c r="L209" s="113">
        <v>31.883</v>
      </c>
      <c r="M209" s="113">
        <v>31.883</v>
      </c>
      <c r="N209" s="113">
        <v>31.883</v>
      </c>
      <c r="O209" s="113">
        <v>31.883</v>
      </c>
      <c r="P209" s="113">
        <v>31.883</v>
      </c>
      <c r="Q209" s="113">
        <v>31.883</v>
      </c>
      <c r="R209" s="114"/>
      <c r="S209" s="180"/>
      <c r="T209" s="63"/>
    </row>
    <row r="210" spans="1:20" ht="15.75">
      <c r="A210" s="36"/>
      <c r="B210" s="108"/>
      <c r="D210" s="136" t="s">
        <v>685</v>
      </c>
      <c r="E210" s="109"/>
      <c r="F210" s="113">
        <v>31.969397</v>
      </c>
      <c r="G210" s="113">
        <v>31.969397</v>
      </c>
      <c r="H210" s="113">
        <v>31.969397</v>
      </c>
      <c r="I210" s="113">
        <v>31.969397</v>
      </c>
      <c r="J210" s="113">
        <v>31.969397</v>
      </c>
      <c r="K210" s="113">
        <v>31.969397</v>
      </c>
      <c r="L210" s="113">
        <v>31.969397</v>
      </c>
      <c r="M210" s="113">
        <v>31.969397</v>
      </c>
      <c r="N210" s="113">
        <v>31.969397</v>
      </c>
      <c r="O210" s="113">
        <v>31.969397</v>
      </c>
      <c r="P210" s="113">
        <v>31.969397</v>
      </c>
      <c r="Q210" s="113">
        <v>31.969397</v>
      </c>
      <c r="R210" s="114"/>
      <c r="S210" s="180"/>
      <c r="T210" s="63"/>
    </row>
    <row r="211" spans="1:20" ht="15.75">
      <c r="A211" s="36"/>
      <c r="B211" s="108"/>
      <c r="D211" s="136"/>
      <c r="E211" s="109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4"/>
      <c r="S211" s="180"/>
      <c r="T211" s="63"/>
    </row>
    <row r="212" spans="1:20" ht="15.75">
      <c r="A212" s="36"/>
      <c r="B212" s="108" t="s">
        <v>22</v>
      </c>
      <c r="D212" s="136" t="s">
        <v>562</v>
      </c>
      <c r="E212" s="109" t="s">
        <v>367</v>
      </c>
      <c r="F212" s="113">
        <f>F208*F204/100</f>
        <v>170.24693042</v>
      </c>
      <c r="G212" s="113">
        <f aca="true" t="shared" si="41" ref="G212:Q212">G208*G204/100</f>
        <v>195.4842379</v>
      </c>
      <c r="H212" s="113">
        <f t="shared" si="41"/>
        <v>198.23319015999996</v>
      </c>
      <c r="I212" s="113">
        <f t="shared" si="41"/>
        <v>201.96509531</v>
      </c>
      <c r="J212" s="113">
        <f t="shared" si="41"/>
        <v>182.98100061999997</v>
      </c>
      <c r="K212" s="113">
        <f t="shared" si="41"/>
        <v>131.66308031</v>
      </c>
      <c r="L212" s="113">
        <f t="shared" si="41"/>
        <v>85.21019812904999</v>
      </c>
      <c r="M212" s="113">
        <f t="shared" si="41"/>
        <v>184.97480402500003</v>
      </c>
      <c r="N212" s="113">
        <f t="shared" si="41"/>
        <v>190.50809070424998</v>
      </c>
      <c r="O212" s="113">
        <f t="shared" si="41"/>
        <v>217.60306915</v>
      </c>
      <c r="P212" s="113">
        <f t="shared" si="41"/>
        <v>197.88012706407</v>
      </c>
      <c r="Q212" s="113">
        <f t="shared" si="41"/>
        <v>210.34565695762998</v>
      </c>
      <c r="R212" s="145">
        <f>SUM(F212:Q212)</f>
        <v>2167.09548075</v>
      </c>
      <c r="S212" s="161">
        <f>R212/12</f>
        <v>180.5912900625</v>
      </c>
      <c r="T212" s="145">
        <f>MAX(F212:Q212)</f>
        <v>217.60306915</v>
      </c>
    </row>
    <row r="213" spans="1:20" ht="15.75">
      <c r="A213" s="36"/>
      <c r="B213" s="108"/>
      <c r="D213" s="136" t="s">
        <v>563</v>
      </c>
      <c r="E213" s="109"/>
      <c r="F213" s="113">
        <f aca="true" t="shared" si="42" ref="F213:Q214">F209*F205/100</f>
        <v>199.91663232745998</v>
      </c>
      <c r="G213" s="113">
        <f t="shared" si="42"/>
        <v>205.84509476319</v>
      </c>
      <c r="H213" s="113">
        <f t="shared" si="42"/>
        <v>189.29897543491998</v>
      </c>
      <c r="I213" s="113">
        <f t="shared" si="42"/>
        <v>187.42310724692</v>
      </c>
      <c r="J213" s="113">
        <f t="shared" si="42"/>
        <v>109.63100493481</v>
      </c>
      <c r="K213" s="113">
        <f t="shared" si="42"/>
        <v>116.83223545522</v>
      </c>
      <c r="L213" s="113">
        <f t="shared" si="42"/>
        <v>184.97480402500003</v>
      </c>
      <c r="M213" s="113">
        <f t="shared" si="42"/>
        <v>184.97480402500003</v>
      </c>
      <c r="N213" s="113">
        <f t="shared" si="42"/>
        <v>184.97480402500003</v>
      </c>
      <c r="O213" s="113">
        <f t="shared" si="42"/>
        <v>184.97480402500003</v>
      </c>
      <c r="P213" s="113">
        <f t="shared" si="42"/>
        <v>184.97480402500003</v>
      </c>
      <c r="Q213" s="113">
        <f t="shared" si="42"/>
        <v>184.97480402500003</v>
      </c>
      <c r="R213" s="149">
        <f>SUM(F213:Q213)</f>
        <v>2118.7958743125205</v>
      </c>
      <c r="S213" s="173">
        <f>R213/12</f>
        <v>176.5663228593767</v>
      </c>
      <c r="T213" s="149">
        <f>MAX(F213:Q213)</f>
        <v>205.84509476319</v>
      </c>
    </row>
    <row r="214" spans="1:20" ht="15.75">
      <c r="A214" s="36"/>
      <c r="B214" s="108"/>
      <c r="D214" s="136" t="s">
        <v>685</v>
      </c>
      <c r="E214" s="109"/>
      <c r="F214" s="113">
        <f t="shared" si="42"/>
        <v>182.5646782786775</v>
      </c>
      <c r="G214" s="113">
        <f t="shared" si="42"/>
        <v>182.5646782786775</v>
      </c>
      <c r="H214" s="113">
        <f t="shared" si="42"/>
        <v>182.5646782786775</v>
      </c>
      <c r="I214" s="113">
        <f t="shared" si="42"/>
        <v>182.5646782786775</v>
      </c>
      <c r="J214" s="113">
        <f t="shared" si="42"/>
        <v>182.5646782786775</v>
      </c>
      <c r="K214" s="113">
        <f t="shared" si="42"/>
        <v>182.5646782786775</v>
      </c>
      <c r="L214" s="113">
        <f t="shared" si="42"/>
        <v>182.5646782786775</v>
      </c>
      <c r="M214" s="113">
        <f t="shared" si="42"/>
        <v>182.5646782786775</v>
      </c>
      <c r="N214" s="113">
        <f t="shared" si="42"/>
        <v>182.5646782786775</v>
      </c>
      <c r="O214" s="113">
        <f t="shared" si="42"/>
        <v>182.5646782786775</v>
      </c>
      <c r="P214" s="113">
        <f t="shared" si="42"/>
        <v>182.5646782786775</v>
      </c>
      <c r="Q214" s="113">
        <f t="shared" si="42"/>
        <v>182.5646782786775</v>
      </c>
      <c r="R214" s="149">
        <f>SUM(F214:Q214)-16.6</f>
        <v>2174.17613934413</v>
      </c>
      <c r="S214" s="173">
        <f>R214/12</f>
        <v>181.1813449453442</v>
      </c>
      <c r="T214" s="149">
        <f>MAX(F214:Q214)</f>
        <v>182.5646782786775</v>
      </c>
    </row>
    <row r="215" spans="1:20" ht="15.75">
      <c r="A215" s="36"/>
      <c r="B215" s="108"/>
      <c r="D215" s="136"/>
      <c r="E215" s="109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4"/>
      <c r="S215" s="180"/>
      <c r="T215" s="63"/>
    </row>
    <row r="216" spans="1:20" ht="15.75">
      <c r="A216" s="36"/>
      <c r="B216" s="108" t="s">
        <v>56</v>
      </c>
      <c r="C216" s="120"/>
      <c r="D216" s="136" t="s">
        <v>562</v>
      </c>
      <c r="E216" s="109" t="s">
        <v>367</v>
      </c>
      <c r="F216" s="113">
        <v>169.179</v>
      </c>
      <c r="G216" s="113">
        <v>194.935</v>
      </c>
      <c r="H216" s="113">
        <v>203.653</v>
      </c>
      <c r="I216" s="113">
        <v>203.64</v>
      </c>
      <c r="J216" s="113">
        <v>193.596</v>
      </c>
      <c r="K216" s="113">
        <v>136.051</v>
      </c>
      <c r="L216" s="113">
        <v>86.54</v>
      </c>
      <c r="M216" s="113">
        <v>182.377</v>
      </c>
      <c r="N216" s="113">
        <v>187.162</v>
      </c>
      <c r="O216" s="113">
        <v>213.756</v>
      </c>
      <c r="P216" s="113">
        <v>199.027</v>
      </c>
      <c r="Q216" s="25">
        <v>210.455</v>
      </c>
      <c r="R216" s="145">
        <f>SUM(F216:Q216)</f>
        <v>2180.371</v>
      </c>
      <c r="S216" s="161">
        <f>R216/12</f>
        <v>181.69758333333334</v>
      </c>
      <c r="T216" s="145">
        <f>MAX(F216:Q216)</f>
        <v>213.756</v>
      </c>
    </row>
    <row r="217" spans="1:20" ht="15.75">
      <c r="A217" s="36"/>
      <c r="B217" s="108"/>
      <c r="C217" s="120"/>
      <c r="D217" s="136" t="s">
        <v>563</v>
      </c>
      <c r="E217" s="109"/>
      <c r="F217" s="113">
        <v>197.409</v>
      </c>
      <c r="G217" s="113">
        <v>212.044</v>
      </c>
      <c r="H217" s="113">
        <v>191.514</v>
      </c>
      <c r="I217" s="113">
        <v>187.949</v>
      </c>
      <c r="J217" s="113">
        <v>108.569</v>
      </c>
      <c r="K217" s="113">
        <v>114.987</v>
      </c>
      <c r="L217" s="113">
        <f aca="true" t="shared" si="43" ref="L217:Q217">1012.47/6</f>
        <v>168.745</v>
      </c>
      <c r="M217" s="113">
        <f t="shared" si="43"/>
        <v>168.745</v>
      </c>
      <c r="N217" s="113">
        <f t="shared" si="43"/>
        <v>168.745</v>
      </c>
      <c r="O217" s="113">
        <f t="shared" si="43"/>
        <v>168.745</v>
      </c>
      <c r="P217" s="113">
        <f t="shared" si="43"/>
        <v>168.745</v>
      </c>
      <c r="Q217" s="113">
        <f t="shared" si="43"/>
        <v>168.745</v>
      </c>
      <c r="R217" s="149">
        <f>SUM(F217:Q217)</f>
        <v>2024.9419999999996</v>
      </c>
      <c r="S217" s="173">
        <f>R217/12</f>
        <v>168.74516666666662</v>
      </c>
      <c r="T217" s="149">
        <f>MAX(F217:Q217)</f>
        <v>212.044</v>
      </c>
    </row>
    <row r="218" spans="1:20" ht="15.75">
      <c r="A218" s="36"/>
      <c r="B218" s="108"/>
      <c r="C218" s="120"/>
      <c r="D218" s="136" t="s">
        <v>685</v>
      </c>
      <c r="E218" s="109"/>
      <c r="F218" s="113">
        <f>F214*(1-0.0239)</f>
        <v>178.2013824678171</v>
      </c>
      <c r="G218" s="113">
        <f aca="true" t="shared" si="44" ref="G218:Q218">G214*(1-0.0239)</f>
        <v>178.2013824678171</v>
      </c>
      <c r="H218" s="113">
        <f t="shared" si="44"/>
        <v>178.2013824678171</v>
      </c>
      <c r="I218" s="113">
        <f t="shared" si="44"/>
        <v>178.2013824678171</v>
      </c>
      <c r="J218" s="113">
        <f t="shared" si="44"/>
        <v>178.2013824678171</v>
      </c>
      <c r="K218" s="113">
        <f t="shared" si="44"/>
        <v>178.2013824678171</v>
      </c>
      <c r="L218" s="113">
        <f t="shared" si="44"/>
        <v>178.2013824678171</v>
      </c>
      <c r="M218" s="113">
        <f t="shared" si="44"/>
        <v>178.2013824678171</v>
      </c>
      <c r="N218" s="113">
        <f t="shared" si="44"/>
        <v>178.2013824678171</v>
      </c>
      <c r="O218" s="113">
        <f t="shared" si="44"/>
        <v>178.2013824678171</v>
      </c>
      <c r="P218" s="113">
        <f t="shared" si="44"/>
        <v>178.2013824678171</v>
      </c>
      <c r="Q218" s="113">
        <f t="shared" si="44"/>
        <v>178.2013824678171</v>
      </c>
      <c r="R218" s="149">
        <f>SUM(F218:Q218)</f>
        <v>2138.4165896138047</v>
      </c>
      <c r="S218" s="173">
        <f>R218/12</f>
        <v>178.20138246781707</v>
      </c>
      <c r="T218" s="149">
        <f>MAX(F218:Q218)</f>
        <v>178.2013824678171</v>
      </c>
    </row>
    <row r="219" spans="1:20" ht="15.75">
      <c r="A219" s="36"/>
      <c r="B219" s="106"/>
      <c r="C219" s="120"/>
      <c r="D219" s="136"/>
      <c r="E219" s="109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4"/>
      <c r="S219" s="180"/>
      <c r="T219" s="63"/>
    </row>
    <row r="220" spans="1:20" ht="31.5">
      <c r="A220" s="36"/>
      <c r="B220" s="108" t="s">
        <v>18</v>
      </c>
      <c r="C220" s="120"/>
      <c r="D220" s="136" t="s">
        <v>562</v>
      </c>
      <c r="E220" s="109" t="s">
        <v>372</v>
      </c>
      <c r="F220" s="152">
        <v>81.09</v>
      </c>
      <c r="G220" s="152">
        <v>90.42</v>
      </c>
      <c r="H220" s="152">
        <v>97.6</v>
      </c>
      <c r="I220" s="152">
        <v>94.37</v>
      </c>
      <c r="J220" s="152">
        <v>89.84</v>
      </c>
      <c r="K220" s="152">
        <v>65.04</v>
      </c>
      <c r="L220" s="152">
        <v>42.58</v>
      </c>
      <c r="M220" s="152">
        <f>(L204/(1-7.5%))/(1*24*L$10)*100</f>
        <v>38.83450087183958</v>
      </c>
      <c r="N220" s="152">
        <v>86.86</v>
      </c>
      <c r="O220" s="152">
        <v>99.61</v>
      </c>
      <c r="P220" s="152">
        <v>102.41</v>
      </c>
      <c r="Q220" s="152">
        <v>97.45</v>
      </c>
      <c r="R220" s="114"/>
      <c r="S220" s="180"/>
      <c r="T220" s="116"/>
    </row>
    <row r="221" spans="1:20" ht="15.75">
      <c r="A221" s="36"/>
      <c r="B221" s="108"/>
      <c r="C221" s="120"/>
      <c r="D221" s="136" t="s">
        <v>563</v>
      </c>
      <c r="E221" s="109"/>
      <c r="F221" s="407">
        <v>93.19</v>
      </c>
      <c r="G221" s="408">
        <v>96.89</v>
      </c>
      <c r="H221" s="407">
        <v>90.49</v>
      </c>
      <c r="I221" s="407">
        <v>85.99</v>
      </c>
      <c r="J221" s="407">
        <v>49.72</v>
      </c>
      <c r="K221" s="407">
        <v>54.5</v>
      </c>
      <c r="L221" s="152">
        <f aca="true" t="shared" si="45" ref="L221:Q221">(L205/(1-6.5%))/(1*24*L$10)*100</f>
        <v>83.40053763440861</v>
      </c>
      <c r="M221" s="152">
        <f t="shared" si="45"/>
        <v>86.18055555555556</v>
      </c>
      <c r="N221" s="152">
        <f t="shared" si="45"/>
        <v>83.40053763440861</v>
      </c>
      <c r="O221" s="152">
        <f t="shared" si="45"/>
        <v>83.40053763440861</v>
      </c>
      <c r="P221" s="152">
        <f t="shared" si="45"/>
        <v>92.33630952380952</v>
      </c>
      <c r="Q221" s="152">
        <f t="shared" si="45"/>
        <v>83.40053763440861</v>
      </c>
      <c r="R221" s="114"/>
      <c r="S221" s="180"/>
      <c r="T221" s="116"/>
    </row>
    <row r="222" spans="1:20" ht="15.75">
      <c r="A222" s="36"/>
      <c r="B222" s="108"/>
      <c r="C222" s="120"/>
      <c r="D222" s="136" t="s">
        <v>685</v>
      </c>
      <c r="E222" s="109"/>
      <c r="F222" s="152">
        <v>83</v>
      </c>
      <c r="G222" s="152">
        <v>83</v>
      </c>
      <c r="H222" s="152">
        <v>83</v>
      </c>
      <c r="I222" s="152">
        <v>83</v>
      </c>
      <c r="J222" s="152">
        <v>83</v>
      </c>
      <c r="K222" s="152">
        <v>83</v>
      </c>
      <c r="L222" s="152">
        <v>83</v>
      </c>
      <c r="M222" s="152">
        <v>83</v>
      </c>
      <c r="N222" s="152">
        <v>83</v>
      </c>
      <c r="O222" s="152">
        <v>83</v>
      </c>
      <c r="P222" s="152">
        <v>83</v>
      </c>
      <c r="Q222" s="152">
        <v>83</v>
      </c>
      <c r="R222" s="114"/>
      <c r="S222" s="180"/>
      <c r="T222" s="113"/>
    </row>
    <row r="223" spans="1:20" ht="15.75">
      <c r="A223" s="36"/>
      <c r="B223" s="108"/>
      <c r="C223" s="120"/>
      <c r="D223" s="167"/>
      <c r="E223" s="109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4"/>
      <c r="S223" s="180"/>
      <c r="T223" s="63"/>
    </row>
    <row r="224" spans="1:20" ht="15.75">
      <c r="A224" s="36">
        <v>16</v>
      </c>
      <c r="B224" s="108" t="s">
        <v>343</v>
      </c>
      <c r="D224" s="167"/>
      <c r="E224" s="109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4"/>
      <c r="S224" s="180"/>
      <c r="T224" s="63"/>
    </row>
    <row r="225" spans="1:20" ht="31.5">
      <c r="A225" s="36"/>
      <c r="B225" s="108" t="s">
        <v>27</v>
      </c>
      <c r="D225" s="136" t="s">
        <v>562</v>
      </c>
      <c r="E225" s="109" t="s">
        <v>367</v>
      </c>
      <c r="F225" s="113">
        <v>873.612514</v>
      </c>
      <c r="G225" s="113">
        <v>815.860392</v>
      </c>
      <c r="H225" s="113">
        <v>988.743398</v>
      </c>
      <c r="I225" s="113">
        <v>1065.748355</v>
      </c>
      <c r="J225" s="113">
        <v>1098.758131</v>
      </c>
      <c r="K225" s="113">
        <v>1124.475507</v>
      </c>
      <c r="L225" s="193">
        <v>1054.776603</v>
      </c>
      <c r="M225" s="193">
        <v>1267.64137</v>
      </c>
      <c r="N225" s="193">
        <v>1295.345456</v>
      </c>
      <c r="O225" s="193">
        <v>1359.91032</v>
      </c>
      <c r="P225" s="193">
        <v>1204.938295</v>
      </c>
      <c r="Q225" s="113">
        <v>1391.602192</v>
      </c>
      <c r="R225" s="145">
        <f>SUM(F225:Q225)</f>
        <v>13541.412533</v>
      </c>
      <c r="S225" s="161">
        <f>R225/12</f>
        <v>1128.4510444166667</v>
      </c>
      <c r="T225" s="145">
        <f>MAX(F225:Q225)</f>
        <v>1391.602192</v>
      </c>
    </row>
    <row r="226" spans="1:20" ht="15.75">
      <c r="A226" s="36"/>
      <c r="B226" s="108"/>
      <c r="D226" s="136" t="s">
        <v>563</v>
      </c>
      <c r="E226" s="109"/>
      <c r="F226" s="113">
        <v>1032.617185</v>
      </c>
      <c r="G226" s="113">
        <v>1336.6986911</v>
      </c>
      <c r="H226" s="113">
        <v>990.617081</v>
      </c>
      <c r="I226" s="113">
        <v>974.60165</v>
      </c>
      <c r="J226" s="113">
        <v>1159.555403</v>
      </c>
      <c r="K226" s="113">
        <v>1245.525148</v>
      </c>
      <c r="L226" s="113">
        <f aca="true" t="shared" si="46" ref="L226:Q226">2000*8.76*0.85*0.935/12</f>
        <v>1160.335</v>
      </c>
      <c r="M226" s="113">
        <f t="shared" si="46"/>
        <v>1160.335</v>
      </c>
      <c r="N226" s="113">
        <f t="shared" si="46"/>
        <v>1160.335</v>
      </c>
      <c r="O226" s="113">
        <f t="shared" si="46"/>
        <v>1160.335</v>
      </c>
      <c r="P226" s="113">
        <f t="shared" si="46"/>
        <v>1160.335</v>
      </c>
      <c r="Q226" s="113">
        <f t="shared" si="46"/>
        <v>1160.335</v>
      </c>
      <c r="R226" s="149">
        <f>SUM(F226:Q226)</f>
        <v>13701.625158099996</v>
      </c>
      <c r="S226" s="173">
        <f>R226/12</f>
        <v>1141.802096508333</v>
      </c>
      <c r="T226" s="149">
        <f>MAX(F226:Q226)</f>
        <v>1336.6986911</v>
      </c>
    </row>
    <row r="227" spans="1:20" ht="15.75">
      <c r="A227" s="36"/>
      <c r="B227" s="108"/>
      <c r="D227" s="136" t="s">
        <v>685</v>
      </c>
      <c r="E227" s="109"/>
      <c r="F227" s="113">
        <f>2000*8.76*0.83*0.9425/12</f>
        <v>1142.1215</v>
      </c>
      <c r="G227" s="113">
        <f aca="true" t="shared" si="47" ref="G227:Q227">2000*8.76*0.83*0.9425/12</f>
        <v>1142.1215</v>
      </c>
      <c r="H227" s="113">
        <f t="shared" si="47"/>
        <v>1142.1215</v>
      </c>
      <c r="I227" s="113">
        <f t="shared" si="47"/>
        <v>1142.1215</v>
      </c>
      <c r="J227" s="113">
        <f t="shared" si="47"/>
        <v>1142.1215</v>
      </c>
      <c r="K227" s="113">
        <f t="shared" si="47"/>
        <v>1142.1215</v>
      </c>
      <c r="L227" s="113">
        <f t="shared" si="47"/>
        <v>1142.1215</v>
      </c>
      <c r="M227" s="113">
        <f t="shared" si="47"/>
        <v>1142.1215</v>
      </c>
      <c r="N227" s="113">
        <f t="shared" si="47"/>
        <v>1142.1215</v>
      </c>
      <c r="O227" s="113">
        <f t="shared" si="47"/>
        <v>1142.1215</v>
      </c>
      <c r="P227" s="113">
        <f t="shared" si="47"/>
        <v>1142.1215</v>
      </c>
      <c r="Q227" s="113">
        <f t="shared" si="47"/>
        <v>1142.1215</v>
      </c>
      <c r="R227" s="149">
        <f>SUM(F227:Q227)</f>
        <v>13705.457999999997</v>
      </c>
      <c r="S227" s="173">
        <f>R227/12</f>
        <v>1142.1214999999997</v>
      </c>
      <c r="T227" s="149">
        <f>MAX(F227:Q227)</f>
        <v>1142.1215</v>
      </c>
    </row>
    <row r="228" spans="1:20" ht="15.75">
      <c r="A228" s="36"/>
      <c r="B228" s="108"/>
      <c r="D228" s="136"/>
      <c r="E228" s="109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4"/>
      <c r="S228" s="180"/>
      <c r="T228" s="63"/>
    </row>
    <row r="229" spans="1:20" ht="15.75">
      <c r="A229" s="36"/>
      <c r="B229" s="108" t="s">
        <v>22</v>
      </c>
      <c r="D229" s="136" t="s">
        <v>562</v>
      </c>
      <c r="E229" s="109" t="s">
        <v>372</v>
      </c>
      <c r="F229" s="113">
        <v>10</v>
      </c>
      <c r="G229" s="113">
        <v>10</v>
      </c>
      <c r="H229" s="113">
        <v>10</v>
      </c>
      <c r="I229" s="113">
        <v>10</v>
      </c>
      <c r="J229" s="113">
        <v>10</v>
      </c>
      <c r="K229" s="113">
        <v>10</v>
      </c>
      <c r="L229" s="113">
        <v>10</v>
      </c>
      <c r="M229" s="113">
        <v>10</v>
      </c>
      <c r="N229" s="113">
        <v>10</v>
      </c>
      <c r="O229" s="113">
        <v>10</v>
      </c>
      <c r="P229" s="113">
        <v>10</v>
      </c>
      <c r="Q229" s="113">
        <v>10</v>
      </c>
      <c r="R229" s="114"/>
      <c r="S229" s="180"/>
      <c r="T229" s="112"/>
    </row>
    <row r="230" spans="1:20" ht="15.75">
      <c r="A230" s="36"/>
      <c r="B230" s="108"/>
      <c r="D230" s="136" t="s">
        <v>563</v>
      </c>
      <c r="E230" s="109"/>
      <c r="F230" s="113">
        <v>10</v>
      </c>
      <c r="G230" s="113">
        <v>10</v>
      </c>
      <c r="H230" s="113">
        <v>10</v>
      </c>
      <c r="I230" s="113">
        <v>10</v>
      </c>
      <c r="J230" s="113">
        <v>10</v>
      </c>
      <c r="K230" s="113">
        <v>10</v>
      </c>
      <c r="L230" s="113">
        <v>10</v>
      </c>
      <c r="M230" s="113">
        <v>10</v>
      </c>
      <c r="N230" s="113">
        <v>10</v>
      </c>
      <c r="O230" s="113">
        <v>10</v>
      </c>
      <c r="P230" s="113">
        <v>10</v>
      </c>
      <c r="Q230" s="113">
        <v>10</v>
      </c>
      <c r="R230" s="114"/>
      <c r="S230" s="180"/>
      <c r="T230" s="112"/>
    </row>
    <row r="231" spans="1:20" ht="15.75">
      <c r="A231" s="36"/>
      <c r="B231" s="108"/>
      <c r="D231" s="136" t="s">
        <v>685</v>
      </c>
      <c r="E231" s="109"/>
      <c r="F231" s="113">
        <v>10</v>
      </c>
      <c r="G231" s="113">
        <v>10</v>
      </c>
      <c r="H231" s="113">
        <v>10</v>
      </c>
      <c r="I231" s="113">
        <v>10</v>
      </c>
      <c r="J231" s="113">
        <v>10</v>
      </c>
      <c r="K231" s="113">
        <v>10</v>
      </c>
      <c r="L231" s="113">
        <v>10</v>
      </c>
      <c r="M231" s="113">
        <v>10</v>
      </c>
      <c r="N231" s="113">
        <v>10</v>
      </c>
      <c r="O231" s="113">
        <v>10</v>
      </c>
      <c r="P231" s="113">
        <v>10</v>
      </c>
      <c r="Q231" s="113">
        <v>10</v>
      </c>
      <c r="R231" s="114"/>
      <c r="S231" s="180"/>
      <c r="T231" s="114"/>
    </row>
    <row r="232" spans="1:20" ht="15.75">
      <c r="A232" s="36"/>
      <c r="B232" s="108"/>
      <c r="D232" s="136"/>
      <c r="E232" s="109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4"/>
      <c r="S232" s="180"/>
      <c r="T232" s="63"/>
    </row>
    <row r="233" spans="1:20" ht="15.75">
      <c r="A233" s="36"/>
      <c r="B233" s="108" t="s">
        <v>22</v>
      </c>
      <c r="D233" s="136" t="s">
        <v>562</v>
      </c>
      <c r="E233" s="109" t="s">
        <v>367</v>
      </c>
      <c r="F233" s="113">
        <f>F229*F225/100</f>
        <v>87.3612514</v>
      </c>
      <c r="G233" s="113">
        <f aca="true" t="shared" si="48" ref="G233:Q233">G229*G225/100</f>
        <v>81.5860392</v>
      </c>
      <c r="H233" s="113">
        <f t="shared" si="48"/>
        <v>98.8743398</v>
      </c>
      <c r="I233" s="113">
        <f t="shared" si="48"/>
        <v>106.57483549999999</v>
      </c>
      <c r="J233" s="113">
        <f t="shared" si="48"/>
        <v>109.87581310000002</v>
      </c>
      <c r="K233" s="113">
        <f t="shared" si="48"/>
        <v>112.44755070000001</v>
      </c>
      <c r="L233" s="113">
        <f t="shared" si="48"/>
        <v>105.47766030000001</v>
      </c>
      <c r="M233" s="113">
        <f t="shared" si="48"/>
        <v>126.764137</v>
      </c>
      <c r="N233" s="113">
        <f t="shared" si="48"/>
        <v>129.5345456</v>
      </c>
      <c r="O233" s="113">
        <f t="shared" si="48"/>
        <v>135.991032</v>
      </c>
      <c r="P233" s="113">
        <f t="shared" si="48"/>
        <v>120.49382949999999</v>
      </c>
      <c r="Q233" s="113">
        <f t="shared" si="48"/>
        <v>139.1602192</v>
      </c>
      <c r="R233" s="145">
        <f>SUM(F233:Q233)</f>
        <v>1354.1412533</v>
      </c>
      <c r="S233" s="161">
        <f>R233/12</f>
        <v>112.84510444166666</v>
      </c>
      <c r="T233" s="145">
        <f>MAX(F233:Q233)</f>
        <v>139.1602192</v>
      </c>
    </row>
    <row r="234" spans="1:20" ht="15.75">
      <c r="A234" s="36"/>
      <c r="B234" s="108"/>
      <c r="D234" s="136" t="s">
        <v>563</v>
      </c>
      <c r="E234" s="109"/>
      <c r="F234" s="113">
        <f aca="true" t="shared" si="49" ref="F234:Q234">F230*F226/100</f>
        <v>103.2617185</v>
      </c>
      <c r="G234" s="113">
        <f t="shared" si="49"/>
        <v>133.66986911</v>
      </c>
      <c r="H234" s="113">
        <f t="shared" si="49"/>
        <v>99.06170809999999</v>
      </c>
      <c r="I234" s="113">
        <f t="shared" si="49"/>
        <v>97.460165</v>
      </c>
      <c r="J234" s="113">
        <f t="shared" si="49"/>
        <v>115.95554030000001</v>
      </c>
      <c r="K234" s="113">
        <f t="shared" si="49"/>
        <v>124.55251479999998</v>
      </c>
      <c r="L234" s="113">
        <f t="shared" si="49"/>
        <v>116.0335</v>
      </c>
      <c r="M234" s="113">
        <f t="shared" si="49"/>
        <v>116.0335</v>
      </c>
      <c r="N234" s="113">
        <f t="shared" si="49"/>
        <v>116.0335</v>
      </c>
      <c r="O234" s="113">
        <f t="shared" si="49"/>
        <v>116.0335</v>
      </c>
      <c r="P234" s="113">
        <f t="shared" si="49"/>
        <v>116.0335</v>
      </c>
      <c r="Q234" s="113">
        <f t="shared" si="49"/>
        <v>116.0335</v>
      </c>
      <c r="R234" s="149">
        <f>SUM(F234:Q234)</f>
        <v>1370.16251581</v>
      </c>
      <c r="S234" s="173">
        <f>R234/12</f>
        <v>114.18020965083333</v>
      </c>
      <c r="T234" s="149">
        <f>MAX(F234:Q234)</f>
        <v>133.66986911</v>
      </c>
    </row>
    <row r="235" spans="1:20" ht="15.75">
      <c r="A235" s="36"/>
      <c r="B235" s="108"/>
      <c r="D235" s="136" t="s">
        <v>685</v>
      </c>
      <c r="E235" s="109"/>
      <c r="F235" s="113">
        <f aca="true" t="shared" si="50" ref="F235:Q235">F231*F227/100</f>
        <v>114.21215000000001</v>
      </c>
      <c r="G235" s="113">
        <f t="shared" si="50"/>
        <v>114.21215000000001</v>
      </c>
      <c r="H235" s="113">
        <f t="shared" si="50"/>
        <v>114.21215000000001</v>
      </c>
      <c r="I235" s="113">
        <f t="shared" si="50"/>
        <v>114.21215000000001</v>
      </c>
      <c r="J235" s="113">
        <f t="shared" si="50"/>
        <v>114.21215000000001</v>
      </c>
      <c r="K235" s="113">
        <f t="shared" si="50"/>
        <v>114.21215000000001</v>
      </c>
      <c r="L235" s="113">
        <f t="shared" si="50"/>
        <v>114.21215000000001</v>
      </c>
      <c r="M235" s="113">
        <f t="shared" si="50"/>
        <v>114.21215000000001</v>
      </c>
      <c r="N235" s="113">
        <f t="shared" si="50"/>
        <v>114.21215000000001</v>
      </c>
      <c r="O235" s="113">
        <f t="shared" si="50"/>
        <v>114.21215000000001</v>
      </c>
      <c r="P235" s="113">
        <f t="shared" si="50"/>
        <v>114.21215000000001</v>
      </c>
      <c r="Q235" s="113">
        <f t="shared" si="50"/>
        <v>114.21215000000001</v>
      </c>
      <c r="R235" s="149">
        <f>SUM(F235:Q235)</f>
        <v>1370.5458000000006</v>
      </c>
      <c r="S235" s="173">
        <f>R235/12</f>
        <v>114.21215000000005</v>
      </c>
      <c r="T235" s="149">
        <f>MAX(F235:Q235)</f>
        <v>114.21215000000001</v>
      </c>
    </row>
    <row r="236" spans="1:20" ht="15.75">
      <c r="A236" s="36"/>
      <c r="B236" s="108"/>
      <c r="D236" s="136"/>
      <c r="E236" s="109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4"/>
      <c r="S236" s="180"/>
      <c r="T236" s="63"/>
    </row>
    <row r="237" spans="1:20" ht="15.75">
      <c r="A237" s="36"/>
      <c r="B237" s="108" t="s">
        <v>56</v>
      </c>
      <c r="C237" s="120"/>
      <c r="D237" s="136" t="s">
        <v>562</v>
      </c>
      <c r="E237" s="109" t="s">
        <v>367</v>
      </c>
      <c r="F237" s="113">
        <v>85.258</v>
      </c>
      <c r="G237" s="113">
        <v>80.283</v>
      </c>
      <c r="H237" s="113">
        <v>97.841</v>
      </c>
      <c r="I237" s="113">
        <v>107.274</v>
      </c>
      <c r="J237" s="113">
        <v>112.203</v>
      </c>
      <c r="K237" s="113">
        <v>117.959</v>
      </c>
      <c r="L237" s="111">
        <v>100.926</v>
      </c>
      <c r="M237" s="194">
        <v>125.889</v>
      </c>
      <c r="N237" s="194">
        <v>128.054</v>
      </c>
      <c r="O237" s="194">
        <v>136.304</v>
      </c>
      <c r="P237" s="194">
        <v>119.252</v>
      </c>
      <c r="Q237" s="113">
        <v>138.223</v>
      </c>
      <c r="R237" s="145">
        <f>SUM(F237:Q237)</f>
        <v>1349.466</v>
      </c>
      <c r="S237" s="161">
        <f>R237/12</f>
        <v>112.45549999999999</v>
      </c>
      <c r="T237" s="145">
        <f>MAX(F237:Q237)</f>
        <v>138.223</v>
      </c>
    </row>
    <row r="238" spans="1:20" ht="15.75">
      <c r="A238" s="36"/>
      <c r="B238" s="108"/>
      <c r="C238" s="120"/>
      <c r="D238" s="136" t="s">
        <v>563</v>
      </c>
      <c r="E238" s="109"/>
      <c r="F238" s="113">
        <v>129.757</v>
      </c>
      <c r="G238" s="113">
        <v>133.827</v>
      </c>
      <c r="H238" s="113">
        <v>98.776</v>
      </c>
      <c r="I238" s="113">
        <v>97.227</v>
      </c>
      <c r="J238" s="113">
        <v>116.365</v>
      </c>
      <c r="K238" s="113">
        <v>125.113</v>
      </c>
      <c r="L238" s="113">
        <f aca="true" t="shared" si="51" ref="L238:Q238">701.06/6</f>
        <v>116.84333333333332</v>
      </c>
      <c r="M238" s="113">
        <f t="shared" si="51"/>
        <v>116.84333333333332</v>
      </c>
      <c r="N238" s="113">
        <f t="shared" si="51"/>
        <v>116.84333333333332</v>
      </c>
      <c r="O238" s="113">
        <f t="shared" si="51"/>
        <v>116.84333333333332</v>
      </c>
      <c r="P238" s="113">
        <f t="shared" si="51"/>
        <v>116.84333333333332</v>
      </c>
      <c r="Q238" s="113">
        <f t="shared" si="51"/>
        <v>116.84333333333332</v>
      </c>
      <c r="R238" s="149">
        <f>SUM(F238:Q238)</f>
        <v>1402.1249999999998</v>
      </c>
      <c r="S238" s="173">
        <f>R238/12</f>
        <v>116.84374999999999</v>
      </c>
      <c r="T238" s="149">
        <f>MAX(F238:Q238)</f>
        <v>133.827</v>
      </c>
    </row>
    <row r="239" spans="1:20" ht="15.75">
      <c r="A239" s="36"/>
      <c r="B239" s="108"/>
      <c r="C239" s="120"/>
      <c r="D239" s="136" t="s">
        <v>685</v>
      </c>
      <c r="E239" s="109"/>
      <c r="F239" s="113">
        <f>F235*(1-0.0278)</f>
        <v>111.03705223</v>
      </c>
      <c r="G239" s="113">
        <f aca="true" t="shared" si="52" ref="G239:Q239">G235*(1-0.0278)</f>
        <v>111.03705223</v>
      </c>
      <c r="H239" s="113">
        <f t="shared" si="52"/>
        <v>111.03705223</v>
      </c>
      <c r="I239" s="113">
        <f t="shared" si="52"/>
        <v>111.03705223</v>
      </c>
      <c r="J239" s="113">
        <f t="shared" si="52"/>
        <v>111.03705223</v>
      </c>
      <c r="K239" s="113">
        <f t="shared" si="52"/>
        <v>111.03705223</v>
      </c>
      <c r="L239" s="113">
        <f t="shared" si="52"/>
        <v>111.03705223</v>
      </c>
      <c r="M239" s="113">
        <f t="shared" si="52"/>
        <v>111.03705223</v>
      </c>
      <c r="N239" s="113">
        <f t="shared" si="52"/>
        <v>111.03705223</v>
      </c>
      <c r="O239" s="113">
        <f t="shared" si="52"/>
        <v>111.03705223</v>
      </c>
      <c r="P239" s="113">
        <f t="shared" si="52"/>
        <v>111.03705223</v>
      </c>
      <c r="Q239" s="113">
        <f t="shared" si="52"/>
        <v>111.03705223</v>
      </c>
      <c r="R239" s="149">
        <f>SUM(F239:Q239)</f>
        <v>1332.44462676</v>
      </c>
      <c r="S239" s="173">
        <f>R239/12</f>
        <v>111.03705222999999</v>
      </c>
      <c r="T239" s="149">
        <f>MAX(F239:Q239)</f>
        <v>111.03705223</v>
      </c>
    </row>
    <row r="240" spans="1:20" ht="15.75">
      <c r="A240" s="36"/>
      <c r="B240" s="108"/>
      <c r="C240" s="120"/>
      <c r="D240" s="136"/>
      <c r="E240" s="109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4"/>
      <c r="S240" s="180"/>
      <c r="T240" s="63"/>
    </row>
    <row r="241" spans="1:20" ht="31.5">
      <c r="A241" s="36"/>
      <c r="B241" s="108" t="s">
        <v>18</v>
      </c>
      <c r="C241" s="120"/>
      <c r="D241" s="136" t="s">
        <v>562</v>
      </c>
      <c r="E241" s="109" t="s">
        <v>372</v>
      </c>
      <c r="F241" s="113">
        <v>65.147</v>
      </c>
      <c r="G241" s="113">
        <v>59.37</v>
      </c>
      <c r="H241" s="113">
        <v>74.747</v>
      </c>
      <c r="I241" s="113">
        <v>79.25</v>
      </c>
      <c r="J241" s="113">
        <v>83.01</v>
      </c>
      <c r="K241" s="113">
        <v>89.89</v>
      </c>
      <c r="L241" s="113">
        <v>79.479</v>
      </c>
      <c r="M241" s="113">
        <v>95.976</v>
      </c>
      <c r="N241" s="113">
        <v>94.74</v>
      </c>
      <c r="O241" s="113">
        <v>101.261</v>
      </c>
      <c r="P241" s="113">
        <v>97.823</v>
      </c>
      <c r="Q241" s="113">
        <v>102.044</v>
      </c>
      <c r="R241" s="114"/>
      <c r="S241" s="180"/>
      <c r="T241" s="63"/>
    </row>
    <row r="242" spans="1:20" ht="15.75">
      <c r="A242" s="36"/>
      <c r="B242" s="108"/>
      <c r="C242" s="120"/>
      <c r="D242" s="136" t="s">
        <v>563</v>
      </c>
      <c r="E242" s="109"/>
      <c r="F242" s="402">
        <v>97.917</v>
      </c>
      <c r="G242" s="403">
        <v>97.751</v>
      </c>
      <c r="H242" s="402">
        <v>74.599</v>
      </c>
      <c r="I242" s="402">
        <v>71.105</v>
      </c>
      <c r="J242" s="402">
        <v>85.179</v>
      </c>
      <c r="K242" s="402">
        <v>94.791</v>
      </c>
      <c r="L242" s="113">
        <f aca="true" t="shared" si="53" ref="L242:Q242">(L226/(1-6.5%))/(1*24*L$10)*100</f>
        <v>166.80107526881721</v>
      </c>
      <c r="M242" s="113">
        <f t="shared" si="53"/>
        <v>172.36111111111111</v>
      </c>
      <c r="N242" s="113">
        <f t="shared" si="53"/>
        <v>166.80107526881721</v>
      </c>
      <c r="O242" s="113">
        <f t="shared" si="53"/>
        <v>166.80107526881721</v>
      </c>
      <c r="P242" s="113">
        <f t="shared" si="53"/>
        <v>184.67261904761904</v>
      </c>
      <c r="Q242" s="113">
        <f t="shared" si="53"/>
        <v>166.80107526881721</v>
      </c>
      <c r="R242" s="114"/>
      <c r="S242" s="180"/>
      <c r="T242" s="63"/>
    </row>
    <row r="243" spans="1:20" ht="15.75">
      <c r="A243" s="36"/>
      <c r="B243" s="108"/>
      <c r="C243" s="120"/>
      <c r="D243" s="136" t="s">
        <v>685</v>
      </c>
      <c r="E243" s="109"/>
      <c r="F243" s="113">
        <v>85</v>
      </c>
      <c r="G243" s="113">
        <v>85</v>
      </c>
      <c r="H243" s="113">
        <v>85</v>
      </c>
      <c r="I243" s="113">
        <v>85</v>
      </c>
      <c r="J243" s="113">
        <v>85</v>
      </c>
      <c r="K243" s="113">
        <v>85</v>
      </c>
      <c r="L243" s="113">
        <v>85</v>
      </c>
      <c r="M243" s="113">
        <v>85</v>
      </c>
      <c r="N243" s="113">
        <v>85</v>
      </c>
      <c r="O243" s="113">
        <v>85</v>
      </c>
      <c r="P243" s="113">
        <v>85</v>
      </c>
      <c r="Q243" s="113">
        <v>85</v>
      </c>
      <c r="R243" s="114"/>
      <c r="S243" s="180"/>
      <c r="T243" s="63"/>
    </row>
    <row r="244" spans="1:20" ht="15.75">
      <c r="A244" s="36"/>
      <c r="B244" s="108"/>
      <c r="C244" s="120"/>
      <c r="D244" s="136"/>
      <c r="E244" s="109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4"/>
      <c r="S244" s="180"/>
      <c r="T244" s="63"/>
    </row>
    <row r="245" spans="1:20" ht="15.75">
      <c r="A245" s="36">
        <v>17</v>
      </c>
      <c r="B245" s="108" t="s">
        <v>344</v>
      </c>
      <c r="D245" s="136"/>
      <c r="E245" s="109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4"/>
      <c r="S245" s="180"/>
      <c r="T245" s="63"/>
    </row>
    <row r="246" spans="1:20" ht="31.5">
      <c r="A246" s="36"/>
      <c r="B246" s="108" t="s">
        <v>27</v>
      </c>
      <c r="D246" s="136" t="s">
        <v>562</v>
      </c>
      <c r="E246" s="109" t="s">
        <v>367</v>
      </c>
      <c r="F246" s="113">
        <v>386.325</v>
      </c>
      <c r="G246" s="113">
        <v>492.964</v>
      </c>
      <c r="H246" s="113">
        <v>460.272</v>
      </c>
      <c r="I246" s="113">
        <v>371.336</v>
      </c>
      <c r="J246" s="113">
        <v>423.125</v>
      </c>
      <c r="K246" s="113">
        <v>477.179121</v>
      </c>
      <c r="L246" s="113">
        <v>451.538904</v>
      </c>
      <c r="M246" s="113">
        <v>429.120434</v>
      </c>
      <c r="N246" s="113">
        <v>520.143609</v>
      </c>
      <c r="O246" s="113">
        <v>511.527679</v>
      </c>
      <c r="P246" s="113">
        <v>440.038678</v>
      </c>
      <c r="Q246" s="113">
        <v>481.865551</v>
      </c>
      <c r="R246" s="145">
        <f>SUM(F246:Q246)</f>
        <v>5445.435976</v>
      </c>
      <c r="S246" s="161">
        <f>R246/12</f>
        <v>453.7863313333333</v>
      </c>
      <c r="T246" s="145">
        <f>MAX(F246:Q246)</f>
        <v>520.143609</v>
      </c>
    </row>
    <row r="247" spans="1:20" ht="15.75">
      <c r="A247" s="36"/>
      <c r="B247" s="108"/>
      <c r="D247" s="136" t="s">
        <v>563</v>
      </c>
      <c r="E247" s="109"/>
      <c r="F247" s="113">
        <v>488.103216</v>
      </c>
      <c r="G247" s="113">
        <v>388.76839</v>
      </c>
      <c r="H247" s="113">
        <v>390.777007</v>
      </c>
      <c r="I247" s="113">
        <v>418.280302</v>
      </c>
      <c r="J247" s="113">
        <v>481.112362</v>
      </c>
      <c r="K247" s="113">
        <v>487.335634</v>
      </c>
      <c r="L247" s="113">
        <f aca="true" t="shared" si="54" ref="L247:Q247">(840*8.76*0.85*0.91)/12</f>
        <v>474.31019999999995</v>
      </c>
      <c r="M247" s="113">
        <f t="shared" si="54"/>
        <v>474.31019999999995</v>
      </c>
      <c r="N247" s="113">
        <f t="shared" si="54"/>
        <v>474.31019999999995</v>
      </c>
      <c r="O247" s="113">
        <f t="shared" si="54"/>
        <v>474.31019999999995</v>
      </c>
      <c r="P247" s="113">
        <f t="shared" si="54"/>
        <v>474.31019999999995</v>
      </c>
      <c r="Q247" s="113">
        <f t="shared" si="54"/>
        <v>474.31019999999995</v>
      </c>
      <c r="R247" s="149">
        <f>SUM(F247:Q247)</f>
        <v>5500.238111</v>
      </c>
      <c r="S247" s="173">
        <f>R247/12</f>
        <v>458.35317591666666</v>
      </c>
      <c r="T247" s="149">
        <f>MAX(F247:Q247)</f>
        <v>488.103216</v>
      </c>
    </row>
    <row r="248" spans="1:20" ht="15.75">
      <c r="A248" s="36"/>
      <c r="B248" s="108"/>
      <c r="D248" s="136" t="s">
        <v>685</v>
      </c>
      <c r="E248" s="109"/>
      <c r="F248" s="113">
        <f>(840*8.76*0.83*0.91)/12</f>
        <v>463.14995999999996</v>
      </c>
      <c r="G248" s="113">
        <f aca="true" t="shared" si="55" ref="G248:Q248">(840*8.76*0.83*0.91)/12</f>
        <v>463.14995999999996</v>
      </c>
      <c r="H248" s="113">
        <f t="shared" si="55"/>
        <v>463.14995999999996</v>
      </c>
      <c r="I248" s="113">
        <f t="shared" si="55"/>
        <v>463.14995999999996</v>
      </c>
      <c r="J248" s="113">
        <f t="shared" si="55"/>
        <v>463.14995999999996</v>
      </c>
      <c r="K248" s="113">
        <f t="shared" si="55"/>
        <v>463.14995999999996</v>
      </c>
      <c r="L248" s="113">
        <f t="shared" si="55"/>
        <v>463.14995999999996</v>
      </c>
      <c r="M248" s="113">
        <f t="shared" si="55"/>
        <v>463.14995999999996</v>
      </c>
      <c r="N248" s="113">
        <f t="shared" si="55"/>
        <v>463.14995999999996</v>
      </c>
      <c r="O248" s="113">
        <f t="shared" si="55"/>
        <v>463.14995999999996</v>
      </c>
      <c r="P248" s="113">
        <f t="shared" si="55"/>
        <v>463.14995999999996</v>
      </c>
      <c r="Q248" s="113">
        <f t="shared" si="55"/>
        <v>463.14995999999996</v>
      </c>
      <c r="R248" s="149">
        <f>SUM(F248:Q248)</f>
        <v>5557.799519999998</v>
      </c>
      <c r="S248" s="173">
        <f>R248/12</f>
        <v>463.1499599999998</v>
      </c>
      <c r="T248" s="149">
        <f>MAX(F248:Q248)</f>
        <v>463.14995999999996</v>
      </c>
    </row>
    <row r="249" spans="1:20" ht="15.75">
      <c r="A249" s="36"/>
      <c r="B249" s="108"/>
      <c r="D249" s="136"/>
      <c r="E249" s="109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4"/>
      <c r="S249" s="180"/>
      <c r="T249" s="63"/>
    </row>
    <row r="250" spans="1:20" ht="15.75">
      <c r="A250" s="36"/>
      <c r="B250" s="108" t="s">
        <v>22</v>
      </c>
      <c r="D250" s="136" t="s">
        <v>562</v>
      </c>
      <c r="E250" s="109" t="s">
        <v>372</v>
      </c>
      <c r="F250" s="113">
        <v>15.32</v>
      </c>
      <c r="G250" s="113">
        <v>15.32</v>
      </c>
      <c r="H250" s="113">
        <v>15.32</v>
      </c>
      <c r="I250" s="113">
        <v>15.32</v>
      </c>
      <c r="J250" s="113">
        <v>15.32</v>
      </c>
      <c r="K250" s="113">
        <v>15.32</v>
      </c>
      <c r="L250" s="113">
        <v>15.32</v>
      </c>
      <c r="M250" s="113">
        <v>15.32</v>
      </c>
      <c r="N250" s="113">
        <v>15.32</v>
      </c>
      <c r="O250" s="113">
        <v>15.32</v>
      </c>
      <c r="P250" s="113">
        <v>15.32</v>
      </c>
      <c r="Q250" s="113">
        <v>15.32</v>
      </c>
      <c r="R250" s="114"/>
      <c r="S250" s="180"/>
      <c r="T250" s="63"/>
    </row>
    <row r="251" spans="1:20" ht="15.75">
      <c r="A251" s="36"/>
      <c r="B251" s="108"/>
      <c r="D251" s="136" t="s">
        <v>563</v>
      </c>
      <c r="E251" s="109"/>
      <c r="F251" s="113">
        <v>15.32</v>
      </c>
      <c r="G251" s="113">
        <v>15.32</v>
      </c>
      <c r="H251" s="113">
        <v>15.32</v>
      </c>
      <c r="I251" s="113">
        <v>15.32</v>
      </c>
      <c r="J251" s="113">
        <v>15.32</v>
      </c>
      <c r="K251" s="113">
        <v>15.32</v>
      </c>
      <c r="L251" s="113">
        <v>15.32</v>
      </c>
      <c r="M251" s="113">
        <v>15.32</v>
      </c>
      <c r="N251" s="113">
        <v>15.32</v>
      </c>
      <c r="O251" s="113">
        <v>15.32</v>
      </c>
      <c r="P251" s="113">
        <v>15.32</v>
      </c>
      <c r="Q251" s="113">
        <v>15.32</v>
      </c>
      <c r="R251" s="114"/>
      <c r="S251" s="180"/>
      <c r="T251" s="63"/>
    </row>
    <row r="252" spans="1:20" ht="15.75">
      <c r="A252" s="36"/>
      <c r="B252" s="108"/>
      <c r="D252" s="136" t="s">
        <v>685</v>
      </c>
      <c r="E252" s="109"/>
      <c r="F252" s="113">
        <v>15.3998</v>
      </c>
      <c r="G252" s="113">
        <v>15.3998</v>
      </c>
      <c r="H252" s="113">
        <v>15.3998</v>
      </c>
      <c r="I252" s="113">
        <v>15.3998</v>
      </c>
      <c r="J252" s="113">
        <v>15.3998</v>
      </c>
      <c r="K252" s="113">
        <v>15.3998</v>
      </c>
      <c r="L252" s="113">
        <v>15.3998</v>
      </c>
      <c r="M252" s="113">
        <v>15.3998</v>
      </c>
      <c r="N252" s="113">
        <v>15.3998</v>
      </c>
      <c r="O252" s="113">
        <v>15.3998</v>
      </c>
      <c r="P252" s="113">
        <v>15.3998</v>
      </c>
      <c r="Q252" s="113">
        <v>15.3998</v>
      </c>
      <c r="R252" s="114"/>
      <c r="S252" s="180"/>
      <c r="T252" s="63"/>
    </row>
    <row r="253" spans="1:20" ht="15.75">
      <c r="A253" s="36"/>
      <c r="B253" s="108"/>
      <c r="D253" s="136"/>
      <c r="E253" s="109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4"/>
      <c r="S253" s="180"/>
      <c r="T253" s="63"/>
    </row>
    <row r="254" spans="1:20" ht="15.75">
      <c r="A254" s="36"/>
      <c r="B254" s="108" t="s">
        <v>22</v>
      </c>
      <c r="D254" s="136" t="s">
        <v>562</v>
      </c>
      <c r="E254" s="109" t="s">
        <v>367</v>
      </c>
      <c r="F254" s="113">
        <f aca="true" t="shared" si="56" ref="F254:Q254">F250*F246/100</f>
        <v>59.18499</v>
      </c>
      <c r="G254" s="113">
        <f t="shared" si="56"/>
        <v>75.5220848</v>
      </c>
      <c r="H254" s="113">
        <f t="shared" si="56"/>
        <v>70.5136704</v>
      </c>
      <c r="I254" s="113">
        <f t="shared" si="56"/>
        <v>56.88867520000001</v>
      </c>
      <c r="J254" s="113">
        <f t="shared" si="56"/>
        <v>64.82275</v>
      </c>
      <c r="K254" s="113">
        <f t="shared" si="56"/>
        <v>73.1038413372</v>
      </c>
      <c r="L254" s="113">
        <f t="shared" si="56"/>
        <v>69.1757600928</v>
      </c>
      <c r="M254" s="113">
        <f t="shared" si="56"/>
        <v>65.74125048879999</v>
      </c>
      <c r="N254" s="113">
        <f t="shared" si="56"/>
        <v>79.68600089879999</v>
      </c>
      <c r="O254" s="113">
        <f t="shared" si="56"/>
        <v>78.3660404228</v>
      </c>
      <c r="P254" s="113">
        <f t="shared" si="56"/>
        <v>67.4139254696</v>
      </c>
      <c r="Q254" s="113">
        <f t="shared" si="56"/>
        <v>73.8218024132</v>
      </c>
      <c r="R254" s="145">
        <f>SUM(F254:Q254)</f>
        <v>834.2407915232</v>
      </c>
      <c r="S254" s="161">
        <f>R254/12</f>
        <v>69.52006596026666</v>
      </c>
      <c r="T254" s="145">
        <f>MAX(F254:Q254)</f>
        <v>79.68600089879999</v>
      </c>
    </row>
    <row r="255" spans="1:20" ht="15.75">
      <c r="A255" s="36"/>
      <c r="B255" s="108"/>
      <c r="D255" s="136" t="s">
        <v>563</v>
      </c>
      <c r="E255" s="109"/>
      <c r="F255" s="113">
        <f aca="true" t="shared" si="57" ref="F255:Q255">F251*F247/100</f>
        <v>74.7774126912</v>
      </c>
      <c r="G255" s="113">
        <f t="shared" si="57"/>
        <v>59.55931734800001</v>
      </c>
      <c r="H255" s="113">
        <f t="shared" si="57"/>
        <v>59.86703747240001</v>
      </c>
      <c r="I255" s="113">
        <f t="shared" si="57"/>
        <v>64.0805422664</v>
      </c>
      <c r="J255" s="113">
        <f t="shared" si="57"/>
        <v>73.7064138584</v>
      </c>
      <c r="K255" s="113">
        <f t="shared" si="57"/>
        <v>74.65981912880001</v>
      </c>
      <c r="L255" s="113">
        <f t="shared" si="57"/>
        <v>72.66432264</v>
      </c>
      <c r="M255" s="113">
        <f t="shared" si="57"/>
        <v>72.66432264</v>
      </c>
      <c r="N255" s="113">
        <f t="shared" si="57"/>
        <v>72.66432264</v>
      </c>
      <c r="O255" s="113">
        <f t="shared" si="57"/>
        <v>72.66432264</v>
      </c>
      <c r="P255" s="113">
        <f t="shared" si="57"/>
        <v>72.66432264</v>
      </c>
      <c r="Q255" s="113">
        <f t="shared" si="57"/>
        <v>72.66432264</v>
      </c>
      <c r="R255" s="149">
        <f>SUM(F255:Q255)</f>
        <v>842.6364786052002</v>
      </c>
      <c r="S255" s="173">
        <f>R255/12</f>
        <v>70.21970655043334</v>
      </c>
      <c r="T255" s="149">
        <f>MAX(F255:Q255)</f>
        <v>74.7774126912</v>
      </c>
    </row>
    <row r="256" spans="1:20" ht="15.75">
      <c r="A256" s="36"/>
      <c r="B256" s="108"/>
      <c r="D256" s="136" t="s">
        <v>685</v>
      </c>
      <c r="E256" s="109"/>
      <c r="F256" s="113">
        <f aca="true" t="shared" si="58" ref="F256:Q256">F252*F248/100</f>
        <v>71.32416754008</v>
      </c>
      <c r="G256" s="113">
        <f t="shared" si="58"/>
        <v>71.32416754008</v>
      </c>
      <c r="H256" s="113">
        <f t="shared" si="58"/>
        <v>71.32416754008</v>
      </c>
      <c r="I256" s="113">
        <f t="shared" si="58"/>
        <v>71.32416754008</v>
      </c>
      <c r="J256" s="113">
        <f t="shared" si="58"/>
        <v>71.32416754008</v>
      </c>
      <c r="K256" s="113">
        <f t="shared" si="58"/>
        <v>71.32416754008</v>
      </c>
      <c r="L256" s="113">
        <f t="shared" si="58"/>
        <v>71.32416754008</v>
      </c>
      <c r="M256" s="113">
        <f t="shared" si="58"/>
        <v>71.32416754008</v>
      </c>
      <c r="N256" s="113">
        <f t="shared" si="58"/>
        <v>71.32416754008</v>
      </c>
      <c r="O256" s="113">
        <f t="shared" si="58"/>
        <v>71.32416754008</v>
      </c>
      <c r="P256" s="113">
        <f t="shared" si="58"/>
        <v>71.32416754008</v>
      </c>
      <c r="Q256" s="113">
        <f t="shared" si="58"/>
        <v>71.32416754008</v>
      </c>
      <c r="R256" s="149">
        <f>SUM(F256:Q256)</f>
        <v>855.89001048096</v>
      </c>
      <c r="S256" s="173">
        <f>R256/12</f>
        <v>71.32416754008</v>
      </c>
      <c r="T256" s="149">
        <f>MAX(F256:Q256)</f>
        <v>71.32416754008</v>
      </c>
    </row>
    <row r="257" spans="1:20" ht="15.75">
      <c r="A257" s="36"/>
      <c r="B257" s="108"/>
      <c r="D257" s="136"/>
      <c r="E257" s="109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4"/>
      <c r="S257" s="180"/>
      <c r="T257" s="63"/>
    </row>
    <row r="258" spans="1:20" ht="15.75">
      <c r="A258" s="36"/>
      <c r="B258" s="108" t="s">
        <v>56</v>
      </c>
      <c r="C258" s="120"/>
      <c r="D258" s="136" t="s">
        <v>562</v>
      </c>
      <c r="E258" s="109" t="s">
        <v>367</v>
      </c>
      <c r="F258" s="113">
        <v>59.069</v>
      </c>
      <c r="G258" s="113">
        <v>77.868</v>
      </c>
      <c r="H258" s="113">
        <v>81.191</v>
      </c>
      <c r="I258" s="113">
        <v>59.837</v>
      </c>
      <c r="J258" s="113">
        <v>27.456</v>
      </c>
      <c r="K258" s="113">
        <v>58.538</v>
      </c>
      <c r="L258" s="113">
        <v>29.872</v>
      </c>
      <c r="M258" s="113">
        <v>9.105</v>
      </c>
      <c r="N258" s="113">
        <v>63.365</v>
      </c>
      <c r="O258" s="113">
        <v>55.076</v>
      </c>
      <c r="P258" s="113">
        <v>40.382</v>
      </c>
      <c r="Q258" s="113">
        <v>44.126</v>
      </c>
      <c r="R258" s="145">
        <f>SUM(F258:Q258)</f>
        <v>605.885</v>
      </c>
      <c r="S258" s="161">
        <f>R258/12</f>
        <v>50.49041666666667</v>
      </c>
      <c r="T258" s="145">
        <f>MAX(F258:Q258)</f>
        <v>81.191</v>
      </c>
    </row>
    <row r="259" spans="1:20" ht="15.75">
      <c r="A259" s="36"/>
      <c r="B259" s="108"/>
      <c r="C259" s="120"/>
      <c r="D259" s="136" t="s">
        <v>563</v>
      </c>
      <c r="E259" s="109"/>
      <c r="F259" s="113">
        <v>78.344</v>
      </c>
      <c r="G259" s="113">
        <v>60.677</v>
      </c>
      <c r="H259" s="113">
        <v>62.517</v>
      </c>
      <c r="I259" s="113">
        <v>64.014</v>
      </c>
      <c r="J259" s="113">
        <v>57.862</v>
      </c>
      <c r="K259" s="113">
        <v>64.195</v>
      </c>
      <c r="L259" s="113">
        <f aca="true" t="shared" si="59" ref="L259:Q259">387.61/6</f>
        <v>64.60166666666667</v>
      </c>
      <c r="M259" s="113">
        <f t="shared" si="59"/>
        <v>64.60166666666667</v>
      </c>
      <c r="N259" s="113">
        <f t="shared" si="59"/>
        <v>64.60166666666667</v>
      </c>
      <c r="O259" s="113">
        <f t="shared" si="59"/>
        <v>64.60166666666667</v>
      </c>
      <c r="P259" s="113">
        <f t="shared" si="59"/>
        <v>64.60166666666667</v>
      </c>
      <c r="Q259" s="113">
        <f t="shared" si="59"/>
        <v>64.60166666666667</v>
      </c>
      <c r="R259" s="149">
        <f>SUM(F259:Q259)</f>
        <v>775.219</v>
      </c>
      <c r="S259" s="173">
        <f>R259/12</f>
        <v>64.60158333333334</v>
      </c>
      <c r="T259" s="149">
        <f>MAX(F259:Q259)</f>
        <v>78.344</v>
      </c>
    </row>
    <row r="260" spans="1:20" ht="15.75">
      <c r="A260" s="36"/>
      <c r="B260" s="108"/>
      <c r="C260" s="120"/>
      <c r="D260" s="136" t="s">
        <v>685</v>
      </c>
      <c r="E260" s="109"/>
      <c r="F260" s="113">
        <f>F256*(1-0.0208)</f>
        <v>69.84062485524633</v>
      </c>
      <c r="G260" s="113">
        <f aca="true" t="shared" si="60" ref="G260:Q260">G256*(1-0.0208)</f>
        <v>69.84062485524633</v>
      </c>
      <c r="H260" s="113">
        <f t="shared" si="60"/>
        <v>69.84062485524633</v>
      </c>
      <c r="I260" s="113">
        <f t="shared" si="60"/>
        <v>69.84062485524633</v>
      </c>
      <c r="J260" s="113">
        <f t="shared" si="60"/>
        <v>69.84062485524633</v>
      </c>
      <c r="K260" s="113">
        <f t="shared" si="60"/>
        <v>69.84062485524633</v>
      </c>
      <c r="L260" s="113">
        <f t="shared" si="60"/>
        <v>69.84062485524633</v>
      </c>
      <c r="M260" s="113">
        <f t="shared" si="60"/>
        <v>69.84062485524633</v>
      </c>
      <c r="N260" s="113">
        <f t="shared" si="60"/>
        <v>69.84062485524633</v>
      </c>
      <c r="O260" s="113">
        <f t="shared" si="60"/>
        <v>69.84062485524633</v>
      </c>
      <c r="P260" s="113">
        <f t="shared" si="60"/>
        <v>69.84062485524633</v>
      </c>
      <c r="Q260" s="113">
        <f t="shared" si="60"/>
        <v>69.84062485524633</v>
      </c>
      <c r="R260" s="149">
        <f>SUM(F260:Q260)</f>
        <v>838.087498262956</v>
      </c>
      <c r="S260" s="173">
        <f>R260/12</f>
        <v>69.84062485524633</v>
      </c>
      <c r="T260" s="149">
        <f>MAX(F260:Q260)</f>
        <v>69.84062485524633</v>
      </c>
    </row>
    <row r="261" spans="1:20" ht="15.75">
      <c r="A261" s="36"/>
      <c r="B261" s="108"/>
      <c r="C261" s="120"/>
      <c r="D261" s="136"/>
      <c r="E261" s="109"/>
      <c r="F261" s="412"/>
      <c r="G261" s="412"/>
      <c r="H261" s="412"/>
      <c r="I261" s="412"/>
      <c r="J261" s="412"/>
      <c r="K261" s="412"/>
      <c r="L261" s="113"/>
      <c r="M261" s="113"/>
      <c r="N261" s="113"/>
      <c r="O261" s="113"/>
      <c r="P261" s="113"/>
      <c r="Q261" s="113"/>
      <c r="R261" s="114"/>
      <c r="S261" s="180"/>
      <c r="T261" s="63"/>
    </row>
    <row r="262" spans="1:20" ht="31.5">
      <c r="A262" s="36"/>
      <c r="B262" s="108" t="s">
        <v>18</v>
      </c>
      <c r="C262" s="120"/>
      <c r="D262" s="136" t="s">
        <v>562</v>
      </c>
      <c r="E262" s="410" t="s">
        <v>372</v>
      </c>
      <c r="F262" s="414">
        <v>72.06</v>
      </c>
      <c r="G262" s="415">
        <v>91.93</v>
      </c>
      <c r="H262" s="414">
        <v>99.03</v>
      </c>
      <c r="I262" s="414">
        <v>74.3</v>
      </c>
      <c r="J262" s="414">
        <v>93.87</v>
      </c>
      <c r="K262" s="414">
        <v>99.07</v>
      </c>
      <c r="L262" s="411">
        <v>98.22</v>
      </c>
      <c r="M262" s="409">
        <v>99.65</v>
      </c>
      <c r="N262" s="409">
        <v>102.07</v>
      </c>
      <c r="O262" s="409">
        <v>102.68</v>
      </c>
      <c r="P262" s="409">
        <v>101.22</v>
      </c>
      <c r="Q262" s="409">
        <v>101.25</v>
      </c>
      <c r="R262" s="114"/>
      <c r="S262" s="180"/>
      <c r="T262" s="116"/>
    </row>
    <row r="263" spans="1:20" ht="15.75">
      <c r="A263" s="36"/>
      <c r="B263" s="108"/>
      <c r="C263" s="120"/>
      <c r="D263" s="136" t="s">
        <v>563</v>
      </c>
      <c r="E263" s="410"/>
      <c r="F263" s="416">
        <v>95.08</v>
      </c>
      <c r="G263" s="417">
        <v>77.31</v>
      </c>
      <c r="H263" s="416">
        <v>75.6</v>
      </c>
      <c r="I263" s="416">
        <v>78.51</v>
      </c>
      <c r="J263" s="416">
        <v>91.52</v>
      </c>
      <c r="K263" s="416">
        <v>94.84</v>
      </c>
      <c r="L263" s="411">
        <f aca="true" t="shared" si="61" ref="L263:Q263">(L247/(1-9%))/(0.84*24*L$10)*100</f>
        <v>83.40053763440858</v>
      </c>
      <c r="M263" s="411">
        <f t="shared" si="61"/>
        <v>86.18055555555554</v>
      </c>
      <c r="N263" s="411">
        <f t="shared" si="61"/>
        <v>83.40053763440858</v>
      </c>
      <c r="O263" s="411">
        <f t="shared" si="61"/>
        <v>83.40053763440858</v>
      </c>
      <c r="P263" s="411">
        <f t="shared" si="61"/>
        <v>92.3363095238095</v>
      </c>
      <c r="Q263" s="411">
        <f t="shared" si="61"/>
        <v>83.40053763440858</v>
      </c>
      <c r="R263" s="114"/>
      <c r="S263" s="180"/>
      <c r="T263" s="116"/>
    </row>
    <row r="264" spans="1:20" ht="15.75">
      <c r="A264" s="36"/>
      <c r="B264" s="108"/>
      <c r="C264" s="120"/>
      <c r="D264" s="136" t="s">
        <v>685</v>
      </c>
      <c r="E264" s="109"/>
      <c r="F264" s="413">
        <v>83</v>
      </c>
      <c r="G264" s="413">
        <v>83</v>
      </c>
      <c r="H264" s="413">
        <v>83</v>
      </c>
      <c r="I264" s="413">
        <v>83</v>
      </c>
      <c r="J264" s="413">
        <v>83</v>
      </c>
      <c r="K264" s="413">
        <v>83</v>
      </c>
      <c r="L264" s="413">
        <v>83</v>
      </c>
      <c r="M264" s="413">
        <v>83</v>
      </c>
      <c r="N264" s="413">
        <v>83</v>
      </c>
      <c r="O264" s="413">
        <v>83</v>
      </c>
      <c r="P264" s="413">
        <v>83</v>
      </c>
      <c r="Q264" s="413">
        <v>83</v>
      </c>
      <c r="R264" s="114"/>
      <c r="S264" s="180"/>
      <c r="T264" s="116"/>
    </row>
    <row r="265" spans="1:20" ht="15.75">
      <c r="A265" s="36"/>
      <c r="B265" s="108"/>
      <c r="C265" s="120"/>
      <c r="D265" s="167"/>
      <c r="E265" s="109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4"/>
      <c r="S265" s="180"/>
      <c r="T265" s="63"/>
    </row>
    <row r="266" spans="1:20" ht="15.75">
      <c r="A266" s="36">
        <v>18</v>
      </c>
      <c r="B266" s="108" t="s">
        <v>345</v>
      </c>
      <c r="D266" s="167"/>
      <c r="E266" s="109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4"/>
      <c r="S266" s="180"/>
      <c r="T266" s="63"/>
    </row>
    <row r="267" spans="1:20" ht="31.5">
      <c r="A267" s="36"/>
      <c r="B267" s="108" t="s">
        <v>27</v>
      </c>
      <c r="D267" s="136" t="s">
        <v>562</v>
      </c>
      <c r="E267" s="109" t="s">
        <v>367</v>
      </c>
      <c r="F267" s="113">
        <v>344.459</v>
      </c>
      <c r="G267" s="113">
        <v>616.937</v>
      </c>
      <c r="H267" s="113">
        <v>775.814</v>
      </c>
      <c r="I267" s="113">
        <v>785.149</v>
      </c>
      <c r="J267" s="113">
        <v>712.806</v>
      </c>
      <c r="K267" s="113">
        <v>592.436</v>
      </c>
      <c r="L267" s="113">
        <v>720.161052</v>
      </c>
      <c r="M267" s="113">
        <v>794.792254</v>
      </c>
      <c r="N267" s="113">
        <v>826.152857</v>
      </c>
      <c r="O267" s="113">
        <v>817.039684</v>
      </c>
      <c r="P267" s="113">
        <v>682.84847</v>
      </c>
      <c r="Q267" s="113">
        <v>768.680288</v>
      </c>
      <c r="R267" s="145">
        <f>SUM(F267:Q267)</f>
        <v>8437.275605</v>
      </c>
      <c r="S267" s="161">
        <f>R267/12</f>
        <v>703.1063004166667</v>
      </c>
      <c r="T267" s="145">
        <f>MAX(F267:Q267)</f>
        <v>826.152857</v>
      </c>
    </row>
    <row r="268" spans="1:20" ht="15.75">
      <c r="A268" s="36"/>
      <c r="B268" s="108"/>
      <c r="D268" s="136" t="s">
        <v>563</v>
      </c>
      <c r="E268" s="109"/>
      <c r="F268" s="113">
        <v>789.18782</v>
      </c>
      <c r="G268" s="113">
        <v>824.772825</v>
      </c>
      <c r="H268" s="113">
        <v>752.803634</v>
      </c>
      <c r="I268" s="113">
        <v>574.914703</v>
      </c>
      <c r="J268" s="113">
        <v>600.544463</v>
      </c>
      <c r="K268" s="113">
        <v>597.636385</v>
      </c>
      <c r="L268" s="113">
        <f aca="true" t="shared" si="62" ref="L268:Q268">(1500*8.76*0.935*0.85)/12</f>
        <v>870.2512500000001</v>
      </c>
      <c r="M268" s="113">
        <f t="shared" si="62"/>
        <v>870.2512500000001</v>
      </c>
      <c r="N268" s="113">
        <f t="shared" si="62"/>
        <v>870.2512500000001</v>
      </c>
      <c r="O268" s="113">
        <f t="shared" si="62"/>
        <v>870.2512500000001</v>
      </c>
      <c r="P268" s="113">
        <f t="shared" si="62"/>
        <v>870.2512500000001</v>
      </c>
      <c r="Q268" s="113">
        <f t="shared" si="62"/>
        <v>870.2512500000001</v>
      </c>
      <c r="R268" s="149">
        <f>SUM(F268:Q268)</f>
        <v>9361.36733</v>
      </c>
      <c r="S268" s="173">
        <f>R268/12</f>
        <v>780.1139441666666</v>
      </c>
      <c r="T268" s="149">
        <f>MAX(F268:Q268)</f>
        <v>870.2512500000001</v>
      </c>
    </row>
    <row r="269" spans="1:20" ht="15.75">
      <c r="A269" s="36"/>
      <c r="B269" s="108"/>
      <c r="D269" s="136" t="s">
        <v>685</v>
      </c>
      <c r="E269" s="109"/>
      <c r="F269" s="113">
        <f>(1500*8.76*0.83*0.9425)/12</f>
        <v>856.5911249999999</v>
      </c>
      <c r="G269" s="113">
        <f aca="true" t="shared" si="63" ref="G269:Q269">(1500*8.76*0.83*0.9425)/12</f>
        <v>856.5911249999999</v>
      </c>
      <c r="H269" s="113">
        <f t="shared" si="63"/>
        <v>856.5911249999999</v>
      </c>
      <c r="I269" s="113">
        <f t="shared" si="63"/>
        <v>856.5911249999999</v>
      </c>
      <c r="J269" s="113">
        <f t="shared" si="63"/>
        <v>856.5911249999999</v>
      </c>
      <c r="K269" s="113">
        <f t="shared" si="63"/>
        <v>856.5911249999999</v>
      </c>
      <c r="L269" s="113">
        <f t="shared" si="63"/>
        <v>856.5911249999999</v>
      </c>
      <c r="M269" s="113">
        <f t="shared" si="63"/>
        <v>856.5911249999999</v>
      </c>
      <c r="N269" s="113">
        <f t="shared" si="63"/>
        <v>856.5911249999999</v>
      </c>
      <c r="O269" s="113">
        <f t="shared" si="63"/>
        <v>856.5911249999999</v>
      </c>
      <c r="P269" s="113">
        <f t="shared" si="63"/>
        <v>856.5911249999999</v>
      </c>
      <c r="Q269" s="113">
        <f t="shared" si="63"/>
        <v>856.5911249999999</v>
      </c>
      <c r="R269" s="149">
        <f>SUM(F269:Q269)</f>
        <v>10279.093499999999</v>
      </c>
      <c r="S269" s="173">
        <f>R269/12</f>
        <v>856.5911249999999</v>
      </c>
      <c r="T269" s="149">
        <f>MAX(F269:Q269)</f>
        <v>856.5911249999999</v>
      </c>
    </row>
    <row r="270" spans="1:20" ht="15.75">
      <c r="A270" s="36"/>
      <c r="B270" s="108"/>
      <c r="D270" s="167"/>
      <c r="E270" s="109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4"/>
      <c r="S270" s="180"/>
      <c r="T270" s="63"/>
    </row>
    <row r="271" spans="1:20" ht="15.75">
      <c r="A271" s="36"/>
      <c r="B271" s="108" t="s">
        <v>22</v>
      </c>
      <c r="D271" s="136" t="s">
        <v>562</v>
      </c>
      <c r="E271" s="109" t="s">
        <v>372</v>
      </c>
      <c r="F271" s="113">
        <v>2.14</v>
      </c>
      <c r="G271" s="113">
        <v>2.14</v>
      </c>
      <c r="H271" s="113">
        <v>2.14</v>
      </c>
      <c r="I271" s="113">
        <v>2.14</v>
      </c>
      <c r="J271" s="113">
        <v>2.14</v>
      </c>
      <c r="K271" s="113">
        <v>2.14</v>
      </c>
      <c r="L271" s="113">
        <v>2.14</v>
      </c>
      <c r="M271" s="113">
        <v>2.14</v>
      </c>
      <c r="N271" s="113">
        <v>2.14</v>
      </c>
      <c r="O271" s="113">
        <v>2.14</v>
      </c>
      <c r="P271" s="113">
        <v>2.14</v>
      </c>
      <c r="Q271" s="113">
        <v>2.14</v>
      </c>
      <c r="R271" s="114"/>
      <c r="S271" s="180"/>
      <c r="T271" s="63"/>
    </row>
    <row r="272" spans="1:20" ht="15.75">
      <c r="A272" s="36"/>
      <c r="B272" s="108"/>
      <c r="D272" s="136" t="s">
        <v>563</v>
      </c>
      <c r="E272" s="109"/>
      <c r="F272" s="113">
        <v>2.14</v>
      </c>
      <c r="G272" s="113">
        <v>2.14</v>
      </c>
      <c r="H272" s="113">
        <v>2.14</v>
      </c>
      <c r="I272" s="113">
        <v>2.14</v>
      </c>
      <c r="J272" s="113">
        <v>2.14</v>
      </c>
      <c r="K272" s="113">
        <v>2.14</v>
      </c>
      <c r="L272" s="113">
        <v>2.14</v>
      </c>
      <c r="M272" s="113">
        <v>2.14</v>
      </c>
      <c r="N272" s="113">
        <v>2.14</v>
      </c>
      <c r="O272" s="113">
        <v>2.14</v>
      </c>
      <c r="P272" s="113">
        <v>2.14</v>
      </c>
      <c r="Q272" s="113">
        <v>2.14</v>
      </c>
      <c r="R272" s="114"/>
      <c r="S272" s="180"/>
      <c r="T272" s="63"/>
    </row>
    <row r="273" spans="1:20" ht="15.75">
      <c r="A273" s="36"/>
      <c r="B273" s="108"/>
      <c r="D273" s="136" t="s">
        <v>685</v>
      </c>
      <c r="E273" s="109"/>
      <c r="F273" s="113">
        <v>2.237</v>
      </c>
      <c r="G273" s="113">
        <v>2.237</v>
      </c>
      <c r="H273" s="113">
        <v>2.237</v>
      </c>
      <c r="I273" s="113">
        <v>2.237</v>
      </c>
      <c r="J273" s="113">
        <v>2.237</v>
      </c>
      <c r="K273" s="113">
        <v>2.237</v>
      </c>
      <c r="L273" s="113">
        <v>2.237</v>
      </c>
      <c r="M273" s="113">
        <v>2.237</v>
      </c>
      <c r="N273" s="113">
        <v>2.237</v>
      </c>
      <c r="O273" s="113">
        <v>2.237</v>
      </c>
      <c r="P273" s="113">
        <v>2.237</v>
      </c>
      <c r="Q273" s="113">
        <v>2.237</v>
      </c>
      <c r="R273" s="114"/>
      <c r="S273" s="180"/>
      <c r="T273" s="63"/>
    </row>
    <row r="274" spans="1:20" ht="15.75">
      <c r="A274" s="36"/>
      <c r="B274" s="108"/>
      <c r="D274" s="167"/>
      <c r="E274" s="109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4"/>
      <c r="S274" s="180"/>
      <c r="T274" s="63"/>
    </row>
    <row r="275" spans="1:20" ht="15.75">
      <c r="A275" s="36"/>
      <c r="B275" s="108" t="s">
        <v>22</v>
      </c>
      <c r="D275" s="136" t="s">
        <v>562</v>
      </c>
      <c r="E275" s="109" t="s">
        <v>367</v>
      </c>
      <c r="F275" s="113">
        <f>F271*F267/100</f>
        <v>7.371422600000001</v>
      </c>
      <c r="G275" s="113">
        <f aca="true" t="shared" si="64" ref="G275:Q275">G271*G267/100</f>
        <v>13.2024518</v>
      </c>
      <c r="H275" s="113">
        <f t="shared" si="64"/>
        <v>16.6024196</v>
      </c>
      <c r="I275" s="113">
        <f t="shared" si="64"/>
        <v>16.8021886</v>
      </c>
      <c r="J275" s="113">
        <f t="shared" si="64"/>
        <v>15.254048400000002</v>
      </c>
      <c r="K275" s="113">
        <f t="shared" si="64"/>
        <v>12.678130400000002</v>
      </c>
      <c r="L275" s="113">
        <f t="shared" si="64"/>
        <v>15.411446512800003</v>
      </c>
      <c r="M275" s="113">
        <f t="shared" si="64"/>
        <v>17.0085542356</v>
      </c>
      <c r="N275" s="113">
        <f t="shared" si="64"/>
        <v>17.679671139800003</v>
      </c>
      <c r="O275" s="113">
        <f t="shared" si="64"/>
        <v>17.4846492376</v>
      </c>
      <c r="P275" s="113">
        <f t="shared" si="64"/>
        <v>14.612957258000002</v>
      </c>
      <c r="Q275" s="113">
        <f t="shared" si="64"/>
        <v>16.449758163200002</v>
      </c>
      <c r="R275" s="145">
        <f>SUM(F275:Q275)</f>
        <v>180.557697947</v>
      </c>
      <c r="S275" s="161">
        <f>R275/12</f>
        <v>15.046474828916667</v>
      </c>
      <c r="T275" s="145">
        <f>MAX(F275:Q275)</f>
        <v>17.679671139800003</v>
      </c>
    </row>
    <row r="276" spans="1:20" ht="15.75">
      <c r="A276" s="36"/>
      <c r="B276" s="108"/>
      <c r="D276" s="136" t="s">
        <v>563</v>
      </c>
      <c r="E276" s="109"/>
      <c r="F276" s="113">
        <f aca="true" t="shared" si="65" ref="F276:Q277">F272*F268/100</f>
        <v>16.888619348</v>
      </c>
      <c r="G276" s="113">
        <f t="shared" si="65"/>
        <v>17.650138455</v>
      </c>
      <c r="H276" s="113">
        <f t="shared" si="65"/>
        <v>16.1099977676</v>
      </c>
      <c r="I276" s="113">
        <f t="shared" si="65"/>
        <v>12.3031746442</v>
      </c>
      <c r="J276" s="113">
        <f t="shared" si="65"/>
        <v>12.8516515082</v>
      </c>
      <c r="K276" s="113">
        <f t="shared" si="65"/>
        <v>12.789418639</v>
      </c>
      <c r="L276" s="113">
        <f t="shared" si="65"/>
        <v>18.623376750000006</v>
      </c>
      <c r="M276" s="113">
        <f t="shared" si="65"/>
        <v>18.623376750000006</v>
      </c>
      <c r="N276" s="113">
        <f t="shared" si="65"/>
        <v>18.623376750000006</v>
      </c>
      <c r="O276" s="113">
        <f t="shared" si="65"/>
        <v>18.623376750000006</v>
      </c>
      <c r="P276" s="113">
        <f t="shared" si="65"/>
        <v>18.623376750000006</v>
      </c>
      <c r="Q276" s="113">
        <f t="shared" si="65"/>
        <v>18.623376750000006</v>
      </c>
      <c r="R276" s="149">
        <f>SUM(F276:Q276)</f>
        <v>200.33326086200003</v>
      </c>
      <c r="S276" s="173">
        <f>R276/12</f>
        <v>16.694438405166668</v>
      </c>
      <c r="T276" s="149">
        <f>MAX(F276:Q276)</f>
        <v>18.623376750000006</v>
      </c>
    </row>
    <row r="277" spans="1:20" ht="15.75">
      <c r="A277" s="36"/>
      <c r="B277" s="108"/>
      <c r="D277" s="136" t="s">
        <v>685</v>
      </c>
      <c r="E277" s="109"/>
      <c r="F277" s="113">
        <f t="shared" si="65"/>
        <v>19.16194346625</v>
      </c>
      <c r="G277" s="113">
        <f t="shared" si="65"/>
        <v>19.16194346625</v>
      </c>
      <c r="H277" s="113">
        <f t="shared" si="65"/>
        <v>19.16194346625</v>
      </c>
      <c r="I277" s="113">
        <f t="shared" si="65"/>
        <v>19.16194346625</v>
      </c>
      <c r="J277" s="113">
        <f t="shared" si="65"/>
        <v>19.16194346625</v>
      </c>
      <c r="K277" s="113">
        <f t="shared" si="65"/>
        <v>19.16194346625</v>
      </c>
      <c r="L277" s="113">
        <f t="shared" si="65"/>
        <v>19.16194346625</v>
      </c>
      <c r="M277" s="113">
        <f t="shared" si="65"/>
        <v>19.16194346625</v>
      </c>
      <c r="N277" s="113">
        <f t="shared" si="65"/>
        <v>19.16194346625</v>
      </c>
      <c r="O277" s="113">
        <f t="shared" si="65"/>
        <v>19.16194346625</v>
      </c>
      <c r="P277" s="113">
        <f t="shared" si="65"/>
        <v>19.16194346625</v>
      </c>
      <c r="Q277" s="113">
        <f t="shared" si="65"/>
        <v>19.16194346625</v>
      </c>
      <c r="R277" s="149">
        <f>SUM(F277:Q277)</f>
        <v>229.94332159499996</v>
      </c>
      <c r="S277" s="173">
        <f>R277/12</f>
        <v>19.161943466249998</v>
      </c>
      <c r="T277" s="149">
        <f>MAX(F277:Q277)</f>
        <v>19.16194346625</v>
      </c>
    </row>
    <row r="278" spans="1:20" ht="15.75">
      <c r="A278" s="36"/>
      <c r="B278" s="108"/>
      <c r="D278" s="136"/>
      <c r="E278" s="109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4"/>
      <c r="S278" s="180"/>
      <c r="T278" s="63"/>
    </row>
    <row r="279" spans="1:20" ht="15.75">
      <c r="A279" s="36"/>
      <c r="B279" s="108" t="s">
        <v>56</v>
      </c>
      <c r="C279" s="120"/>
      <c r="D279" s="136" t="s">
        <v>562</v>
      </c>
      <c r="E279" s="109" t="s">
        <v>367</v>
      </c>
      <c r="F279" s="113">
        <v>7.554</v>
      </c>
      <c r="G279" s="113">
        <v>14.918</v>
      </c>
      <c r="H279" s="113">
        <v>21.066</v>
      </c>
      <c r="I279" s="113">
        <v>20.783</v>
      </c>
      <c r="J279" s="113">
        <v>7.582</v>
      </c>
      <c r="K279" s="113">
        <v>12.144</v>
      </c>
      <c r="L279" s="113">
        <v>7.617</v>
      </c>
      <c r="M279" s="113">
        <v>2.373</v>
      </c>
      <c r="N279" s="113">
        <v>15.927</v>
      </c>
      <c r="O279" s="113">
        <v>14.289</v>
      </c>
      <c r="P279" s="113">
        <v>9.151</v>
      </c>
      <c r="Q279" s="113">
        <v>11.343</v>
      </c>
      <c r="R279" s="145">
        <f>SUM(F279:Q279)</f>
        <v>144.74699999999999</v>
      </c>
      <c r="S279" s="161">
        <f>R279/12</f>
        <v>12.062249999999999</v>
      </c>
      <c r="T279" s="145">
        <f>MAX(F279:Q279)</f>
        <v>21.066</v>
      </c>
    </row>
    <row r="280" spans="1:20" ht="15.75">
      <c r="A280" s="36"/>
      <c r="B280" s="108"/>
      <c r="C280" s="120"/>
      <c r="D280" s="136" t="s">
        <v>563</v>
      </c>
      <c r="E280" s="109"/>
      <c r="F280" s="113">
        <v>21.202</v>
      </c>
      <c r="G280" s="113">
        <v>20.088</v>
      </c>
      <c r="H280" s="113">
        <v>17.974</v>
      </c>
      <c r="I280" s="113">
        <v>13.128</v>
      </c>
      <c r="J280" s="113">
        <v>10.562</v>
      </c>
      <c r="K280" s="113">
        <v>12.311</v>
      </c>
      <c r="L280" s="113">
        <f aca="true" t="shared" si="66" ref="L280:Q280">95.27/6</f>
        <v>15.878333333333332</v>
      </c>
      <c r="M280" s="113">
        <f t="shared" si="66"/>
        <v>15.878333333333332</v>
      </c>
      <c r="N280" s="113">
        <f t="shared" si="66"/>
        <v>15.878333333333332</v>
      </c>
      <c r="O280" s="113">
        <f t="shared" si="66"/>
        <v>15.878333333333332</v>
      </c>
      <c r="P280" s="113">
        <f t="shared" si="66"/>
        <v>15.878333333333332</v>
      </c>
      <c r="Q280" s="113">
        <f t="shared" si="66"/>
        <v>15.878333333333332</v>
      </c>
      <c r="R280" s="149">
        <f>SUM(F280:Q280)</f>
        <v>190.535</v>
      </c>
      <c r="S280" s="173">
        <f>R280/12</f>
        <v>15.877916666666666</v>
      </c>
      <c r="T280" s="149">
        <f>MAX(F280:Q280)</f>
        <v>21.202</v>
      </c>
    </row>
    <row r="281" spans="1:20" ht="15.75">
      <c r="A281" s="36"/>
      <c r="B281" s="108"/>
      <c r="C281" s="120"/>
      <c r="D281" s="136" t="s">
        <v>685</v>
      </c>
      <c r="E281" s="109"/>
      <c r="F281" s="113">
        <f>F277*(1-0.0208)</f>
        <v>18.763375042152</v>
      </c>
      <c r="G281" s="113">
        <f aca="true" t="shared" si="67" ref="G281:Q281">G277*(1-0.0208)</f>
        <v>18.763375042152</v>
      </c>
      <c r="H281" s="113">
        <f t="shared" si="67"/>
        <v>18.763375042152</v>
      </c>
      <c r="I281" s="113">
        <f t="shared" si="67"/>
        <v>18.763375042152</v>
      </c>
      <c r="J281" s="113">
        <f t="shared" si="67"/>
        <v>18.763375042152</v>
      </c>
      <c r="K281" s="113">
        <f t="shared" si="67"/>
        <v>18.763375042152</v>
      </c>
      <c r="L281" s="113">
        <f t="shared" si="67"/>
        <v>18.763375042152</v>
      </c>
      <c r="M281" s="113">
        <f t="shared" si="67"/>
        <v>18.763375042152</v>
      </c>
      <c r="N281" s="113">
        <f t="shared" si="67"/>
        <v>18.763375042152</v>
      </c>
      <c r="O281" s="113">
        <f t="shared" si="67"/>
        <v>18.763375042152</v>
      </c>
      <c r="P281" s="113">
        <f t="shared" si="67"/>
        <v>18.763375042152</v>
      </c>
      <c r="Q281" s="113">
        <f t="shared" si="67"/>
        <v>18.763375042152</v>
      </c>
      <c r="R281" s="149">
        <f>SUM(F281:Q281)+0.03</f>
        <v>225.19050050582405</v>
      </c>
      <c r="S281" s="173">
        <f>R281/12</f>
        <v>18.765875042152004</v>
      </c>
      <c r="T281" s="149">
        <f>MAX(F281:Q281)</f>
        <v>18.763375042152</v>
      </c>
    </row>
    <row r="282" spans="1:20" ht="15.75">
      <c r="A282" s="36"/>
      <c r="B282" s="108"/>
      <c r="C282" s="120"/>
      <c r="D282" s="136"/>
      <c r="E282" s="109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4"/>
      <c r="S282" s="180"/>
      <c r="T282" s="63"/>
    </row>
    <row r="283" spans="1:20" ht="31.5">
      <c r="A283" s="36"/>
      <c r="B283" s="108" t="s">
        <v>18</v>
      </c>
      <c r="C283" s="120"/>
      <c r="D283" s="136" t="s">
        <v>562</v>
      </c>
      <c r="E283" s="109" t="s">
        <v>372</v>
      </c>
      <c r="F283" s="113">
        <v>35.97</v>
      </c>
      <c r="G283" s="113">
        <v>68.76</v>
      </c>
      <c r="H283" s="113">
        <v>100.31</v>
      </c>
      <c r="I283" s="113">
        <v>100.71</v>
      </c>
      <c r="J283" s="113">
        <v>93.91</v>
      </c>
      <c r="K283" s="113">
        <v>76.15</v>
      </c>
      <c r="L283" s="113">
        <v>93.91</v>
      </c>
      <c r="M283" s="113">
        <v>100.52</v>
      </c>
      <c r="N283" s="113">
        <v>99.4</v>
      </c>
      <c r="O283" s="113">
        <v>101.22</v>
      </c>
      <c r="P283" s="113">
        <v>94.29</v>
      </c>
      <c r="Q283" s="113">
        <v>101.45</v>
      </c>
      <c r="R283" s="114"/>
      <c r="S283" s="180"/>
      <c r="T283" s="112"/>
    </row>
    <row r="284" spans="1:20" ht="15.75">
      <c r="A284" s="36"/>
      <c r="B284" s="108"/>
      <c r="C284" s="120"/>
      <c r="D284" s="136" t="s">
        <v>563</v>
      </c>
      <c r="E284" s="109"/>
      <c r="F284" s="113">
        <v>96.42</v>
      </c>
      <c r="G284" s="113">
        <v>95.64</v>
      </c>
      <c r="H284" s="113">
        <v>80.87</v>
      </c>
      <c r="I284" s="113">
        <v>57.47</v>
      </c>
      <c r="J284" s="113">
        <v>62.72</v>
      </c>
      <c r="K284" s="113">
        <v>66.93</v>
      </c>
      <c r="L284" s="113">
        <f aca="true" t="shared" si="68" ref="L284:Q284">(L268/(1-6.5%))/(1.5*24*L$10)*100</f>
        <v>83.40053763440861</v>
      </c>
      <c r="M284" s="113">
        <f t="shared" si="68"/>
        <v>86.18055555555557</v>
      </c>
      <c r="N284" s="113">
        <f t="shared" si="68"/>
        <v>83.40053763440861</v>
      </c>
      <c r="O284" s="113">
        <f t="shared" si="68"/>
        <v>83.40053763440861</v>
      </c>
      <c r="P284" s="113">
        <f t="shared" si="68"/>
        <v>92.33630952380953</v>
      </c>
      <c r="Q284" s="113">
        <f t="shared" si="68"/>
        <v>83.40053763440861</v>
      </c>
      <c r="R284" s="114"/>
      <c r="S284" s="180"/>
      <c r="T284" s="112"/>
    </row>
    <row r="285" spans="1:20" ht="15.75">
      <c r="A285" s="36"/>
      <c r="B285" s="108"/>
      <c r="C285" s="120"/>
      <c r="D285" s="136" t="s">
        <v>685</v>
      </c>
      <c r="E285" s="109"/>
      <c r="F285" s="113">
        <v>83</v>
      </c>
      <c r="G285" s="113">
        <v>83</v>
      </c>
      <c r="H285" s="113">
        <v>83</v>
      </c>
      <c r="I285" s="113">
        <v>83</v>
      </c>
      <c r="J285" s="113">
        <v>83</v>
      </c>
      <c r="K285" s="113">
        <v>83</v>
      </c>
      <c r="L285" s="113">
        <v>83</v>
      </c>
      <c r="M285" s="113">
        <v>83</v>
      </c>
      <c r="N285" s="113">
        <v>83</v>
      </c>
      <c r="O285" s="113">
        <v>83</v>
      </c>
      <c r="P285" s="113">
        <v>83</v>
      </c>
      <c r="Q285" s="113">
        <v>83</v>
      </c>
      <c r="R285" s="114"/>
      <c r="S285" s="180"/>
      <c r="T285" s="112"/>
    </row>
    <row r="286" spans="1:20" ht="15.75">
      <c r="A286" s="36"/>
      <c r="B286" s="108"/>
      <c r="C286" s="120"/>
      <c r="D286" s="136"/>
      <c r="E286" s="109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4"/>
      <c r="S286" s="180"/>
      <c r="T286" s="112"/>
    </row>
    <row r="287" spans="1:20" ht="28.5" customHeight="1">
      <c r="A287" s="36"/>
      <c r="B287" s="108" t="s">
        <v>745</v>
      </c>
      <c r="D287" s="167"/>
      <c r="E287" s="109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4"/>
      <c r="S287" s="180"/>
      <c r="T287" s="63"/>
    </row>
    <row r="288" spans="1:20" ht="31.5">
      <c r="A288" s="36"/>
      <c r="B288" s="108" t="s">
        <v>27</v>
      </c>
      <c r="D288" s="136" t="s">
        <v>562</v>
      </c>
      <c r="E288" s="109" t="s">
        <v>367</v>
      </c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45">
        <f>SUM(F288:Q288)</f>
        <v>0</v>
      </c>
      <c r="S288" s="161">
        <f>R288/12</f>
        <v>0</v>
      </c>
      <c r="T288" s="145">
        <f>MAX(F288:Q288)</f>
        <v>0</v>
      </c>
    </row>
    <row r="289" spans="1:20" ht="15.75">
      <c r="A289" s="36"/>
      <c r="B289" s="108"/>
      <c r="D289" s="136" t="s">
        <v>563</v>
      </c>
      <c r="E289" s="109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49">
        <f>SUM(F289:Q289)</f>
        <v>0</v>
      </c>
      <c r="S289" s="173">
        <f>R289/12</f>
        <v>0</v>
      </c>
      <c r="T289" s="149">
        <f>MAX(F289:Q289)</f>
        <v>0</v>
      </c>
    </row>
    <row r="290" spans="1:20" ht="15.75">
      <c r="A290" s="36"/>
      <c r="B290" s="108"/>
      <c r="D290" s="136" t="s">
        <v>685</v>
      </c>
      <c r="E290" s="109"/>
      <c r="F290" s="113">
        <f>(1157*8.76*0.83*0.9425)/12</f>
        <v>660.71728775</v>
      </c>
      <c r="G290" s="113">
        <f aca="true" t="shared" si="69" ref="G290:Q290">(1157*8.76*0.83*0.9425)/12</f>
        <v>660.71728775</v>
      </c>
      <c r="H290" s="113">
        <f t="shared" si="69"/>
        <v>660.71728775</v>
      </c>
      <c r="I290" s="113">
        <f t="shared" si="69"/>
        <v>660.71728775</v>
      </c>
      <c r="J290" s="113">
        <f t="shared" si="69"/>
        <v>660.71728775</v>
      </c>
      <c r="K290" s="113">
        <f t="shared" si="69"/>
        <v>660.71728775</v>
      </c>
      <c r="L290" s="113">
        <f t="shared" si="69"/>
        <v>660.71728775</v>
      </c>
      <c r="M290" s="113">
        <f t="shared" si="69"/>
        <v>660.71728775</v>
      </c>
      <c r="N290" s="113">
        <f t="shared" si="69"/>
        <v>660.71728775</v>
      </c>
      <c r="O290" s="113">
        <f t="shared" si="69"/>
        <v>660.71728775</v>
      </c>
      <c r="P290" s="113">
        <f t="shared" si="69"/>
        <v>660.71728775</v>
      </c>
      <c r="Q290" s="113">
        <f t="shared" si="69"/>
        <v>660.71728775</v>
      </c>
      <c r="R290" s="149">
        <f>SUM(F290:Q290)</f>
        <v>7928.607452999998</v>
      </c>
      <c r="S290" s="173">
        <f>R290/12</f>
        <v>660.7172877499999</v>
      </c>
      <c r="T290" s="149">
        <f>MAX(F290:Q290)</f>
        <v>660.71728775</v>
      </c>
    </row>
    <row r="291" spans="1:20" ht="15.75">
      <c r="A291" s="36"/>
      <c r="B291" s="108"/>
      <c r="D291" s="167"/>
      <c r="E291" s="109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4"/>
      <c r="S291" s="180"/>
      <c r="T291" s="63"/>
    </row>
    <row r="292" spans="1:20" ht="15.75">
      <c r="A292" s="36"/>
      <c r="B292" s="108" t="s">
        <v>22</v>
      </c>
      <c r="D292" s="136" t="s">
        <v>562</v>
      </c>
      <c r="E292" s="109" t="s">
        <v>372</v>
      </c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4"/>
      <c r="S292" s="180"/>
      <c r="T292" s="63"/>
    </row>
    <row r="293" spans="1:20" ht="15.75">
      <c r="A293" s="36"/>
      <c r="B293" s="108"/>
      <c r="D293" s="136" t="s">
        <v>563</v>
      </c>
      <c r="E293" s="109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4"/>
      <c r="S293" s="180"/>
      <c r="T293" s="63"/>
    </row>
    <row r="294" spans="1:20" ht="15.75">
      <c r="A294" s="36"/>
      <c r="B294" s="108"/>
      <c r="D294" s="136" t="s">
        <v>685</v>
      </c>
      <c r="E294" s="109"/>
      <c r="F294" s="113">
        <v>12.57</v>
      </c>
      <c r="G294" s="113">
        <v>12.57</v>
      </c>
      <c r="H294" s="113">
        <v>12.57</v>
      </c>
      <c r="I294" s="113">
        <v>12.57</v>
      </c>
      <c r="J294" s="113">
        <v>12.57</v>
      </c>
      <c r="K294" s="113">
        <v>12.57</v>
      </c>
      <c r="L294" s="113">
        <v>12.57</v>
      </c>
      <c r="M294" s="113">
        <v>12.57</v>
      </c>
      <c r="N294" s="113">
        <v>12.57</v>
      </c>
      <c r="O294" s="113">
        <v>12.57</v>
      </c>
      <c r="P294" s="113">
        <v>12.57</v>
      </c>
      <c r="Q294" s="113">
        <v>12.57</v>
      </c>
      <c r="R294" s="114"/>
      <c r="S294" s="180"/>
      <c r="T294" s="63"/>
    </row>
    <row r="295" spans="1:20" ht="15.75">
      <c r="A295" s="36"/>
      <c r="B295" s="108"/>
      <c r="D295" s="167"/>
      <c r="E295" s="109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4"/>
      <c r="S295" s="180"/>
      <c r="T295" s="63"/>
    </row>
    <row r="296" spans="1:20" ht="15.75">
      <c r="A296" s="36"/>
      <c r="B296" s="108" t="s">
        <v>22</v>
      </c>
      <c r="D296" s="136" t="s">
        <v>562</v>
      </c>
      <c r="E296" s="109" t="s">
        <v>367</v>
      </c>
      <c r="F296" s="113">
        <f>F292*F288/100</f>
        <v>0</v>
      </c>
      <c r="G296" s="113">
        <f aca="true" t="shared" si="70" ref="G296:Q296">G292*G288/100</f>
        <v>0</v>
      </c>
      <c r="H296" s="113">
        <f t="shared" si="70"/>
        <v>0</v>
      </c>
      <c r="I296" s="113">
        <f t="shared" si="70"/>
        <v>0</v>
      </c>
      <c r="J296" s="113">
        <f t="shared" si="70"/>
        <v>0</v>
      </c>
      <c r="K296" s="113">
        <f t="shared" si="70"/>
        <v>0</v>
      </c>
      <c r="L296" s="113">
        <f t="shared" si="70"/>
        <v>0</v>
      </c>
      <c r="M296" s="113">
        <f t="shared" si="70"/>
        <v>0</v>
      </c>
      <c r="N296" s="113">
        <f t="shared" si="70"/>
        <v>0</v>
      </c>
      <c r="O296" s="113">
        <f t="shared" si="70"/>
        <v>0</v>
      </c>
      <c r="P296" s="113">
        <f t="shared" si="70"/>
        <v>0</v>
      </c>
      <c r="Q296" s="113">
        <f t="shared" si="70"/>
        <v>0</v>
      </c>
      <c r="R296" s="145">
        <f>SUM(F296:Q296)</f>
        <v>0</v>
      </c>
      <c r="S296" s="161">
        <f>R296/12</f>
        <v>0</v>
      </c>
      <c r="T296" s="145">
        <f>MAX(F296:Q296)</f>
        <v>0</v>
      </c>
    </row>
    <row r="297" spans="1:20" ht="15.75">
      <c r="A297" s="36"/>
      <c r="B297" s="108"/>
      <c r="D297" s="136" t="s">
        <v>563</v>
      </c>
      <c r="E297" s="109"/>
      <c r="F297" s="113">
        <f aca="true" t="shared" si="71" ref="F297:Q297">F293*F289/100</f>
        <v>0</v>
      </c>
      <c r="G297" s="113">
        <f t="shared" si="71"/>
        <v>0</v>
      </c>
      <c r="H297" s="113">
        <f t="shared" si="71"/>
        <v>0</v>
      </c>
      <c r="I297" s="113">
        <f t="shared" si="71"/>
        <v>0</v>
      </c>
      <c r="J297" s="113">
        <f t="shared" si="71"/>
        <v>0</v>
      </c>
      <c r="K297" s="113">
        <f t="shared" si="71"/>
        <v>0</v>
      </c>
      <c r="L297" s="113">
        <f t="shared" si="71"/>
        <v>0</v>
      </c>
      <c r="M297" s="113">
        <f t="shared" si="71"/>
        <v>0</v>
      </c>
      <c r="N297" s="113">
        <f t="shared" si="71"/>
        <v>0</v>
      </c>
      <c r="O297" s="113">
        <f t="shared" si="71"/>
        <v>0</v>
      </c>
      <c r="P297" s="113">
        <f t="shared" si="71"/>
        <v>0</v>
      </c>
      <c r="Q297" s="113">
        <f t="shared" si="71"/>
        <v>0</v>
      </c>
      <c r="R297" s="149">
        <f>SUM(F297:Q297)</f>
        <v>0</v>
      </c>
      <c r="S297" s="173">
        <f>R297/12</f>
        <v>0</v>
      </c>
      <c r="T297" s="149">
        <f>MAX(F297:Q297)</f>
        <v>0</v>
      </c>
    </row>
    <row r="298" spans="1:20" ht="15.75">
      <c r="A298" s="36"/>
      <c r="B298" s="108"/>
      <c r="D298" s="136" t="s">
        <v>685</v>
      </c>
      <c r="E298" s="109"/>
      <c r="F298" s="113">
        <f>F294*F290/100</f>
        <v>83.052163070175</v>
      </c>
      <c r="G298" s="113">
        <f aca="true" t="shared" si="72" ref="G298:Q298">G294*G290/100</f>
        <v>83.052163070175</v>
      </c>
      <c r="H298" s="113">
        <f t="shared" si="72"/>
        <v>83.052163070175</v>
      </c>
      <c r="I298" s="113">
        <f t="shared" si="72"/>
        <v>83.052163070175</v>
      </c>
      <c r="J298" s="113">
        <f t="shared" si="72"/>
        <v>83.052163070175</v>
      </c>
      <c r="K298" s="113">
        <f t="shared" si="72"/>
        <v>83.052163070175</v>
      </c>
      <c r="L298" s="113">
        <f t="shared" si="72"/>
        <v>83.052163070175</v>
      </c>
      <c r="M298" s="113">
        <f t="shared" si="72"/>
        <v>83.052163070175</v>
      </c>
      <c r="N298" s="113">
        <f t="shared" si="72"/>
        <v>83.052163070175</v>
      </c>
      <c r="O298" s="113">
        <f t="shared" si="72"/>
        <v>83.052163070175</v>
      </c>
      <c r="P298" s="113">
        <f t="shared" si="72"/>
        <v>83.052163070175</v>
      </c>
      <c r="Q298" s="113">
        <f t="shared" si="72"/>
        <v>83.052163070175</v>
      </c>
      <c r="R298" s="149">
        <f>SUM(F298:Q298)</f>
        <v>996.6259568420998</v>
      </c>
      <c r="S298" s="173">
        <f>R298/12</f>
        <v>83.05216307017498</v>
      </c>
      <c r="T298" s="149">
        <f>MAX(F298:Q298)</f>
        <v>83.052163070175</v>
      </c>
    </row>
    <row r="299" spans="1:20" ht="15.75">
      <c r="A299" s="36"/>
      <c r="B299" s="108"/>
      <c r="D299" s="136"/>
      <c r="E299" s="109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4"/>
      <c r="S299" s="180"/>
      <c r="T299" s="63"/>
    </row>
    <row r="300" spans="1:20" ht="15.75">
      <c r="A300" s="36"/>
      <c r="B300" s="108" t="s">
        <v>56</v>
      </c>
      <c r="C300" s="120"/>
      <c r="D300" s="136" t="s">
        <v>562</v>
      </c>
      <c r="E300" s="109" t="s">
        <v>367</v>
      </c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45">
        <f>SUM(F300:Q300)</f>
        <v>0</v>
      </c>
      <c r="S300" s="161">
        <f>R300/12</f>
        <v>0</v>
      </c>
      <c r="T300" s="145">
        <f>MAX(F300:Q300)</f>
        <v>0</v>
      </c>
    </row>
    <row r="301" spans="1:20" ht="15.75">
      <c r="A301" s="36"/>
      <c r="B301" s="108"/>
      <c r="C301" s="120"/>
      <c r="D301" s="136" t="s">
        <v>563</v>
      </c>
      <c r="E301" s="109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49">
        <f>SUM(F301:Q301)</f>
        <v>0</v>
      </c>
      <c r="S301" s="173">
        <f>R301/12</f>
        <v>0</v>
      </c>
      <c r="T301" s="149">
        <f>MAX(F301:Q301)</f>
        <v>0</v>
      </c>
    </row>
    <row r="302" spans="1:20" ht="15.75">
      <c r="A302" s="36"/>
      <c r="B302" s="108"/>
      <c r="C302" s="120"/>
      <c r="D302" s="136" t="s">
        <v>685</v>
      </c>
      <c r="E302" s="109"/>
      <c r="F302" s="113">
        <f>F298*(1-0.0208)</f>
        <v>81.32467807831536</v>
      </c>
      <c r="G302" s="113">
        <f aca="true" t="shared" si="73" ref="G302:Q302">G298*(1-0.0208)</f>
        <v>81.32467807831536</v>
      </c>
      <c r="H302" s="113">
        <f t="shared" si="73"/>
        <v>81.32467807831536</v>
      </c>
      <c r="I302" s="113">
        <f t="shared" si="73"/>
        <v>81.32467807831536</v>
      </c>
      <c r="J302" s="113">
        <f t="shared" si="73"/>
        <v>81.32467807831536</v>
      </c>
      <c r="K302" s="113">
        <f t="shared" si="73"/>
        <v>81.32467807831536</v>
      </c>
      <c r="L302" s="113">
        <f t="shared" si="73"/>
        <v>81.32467807831536</v>
      </c>
      <c r="M302" s="113">
        <f t="shared" si="73"/>
        <v>81.32467807831536</v>
      </c>
      <c r="N302" s="113">
        <f t="shared" si="73"/>
        <v>81.32467807831536</v>
      </c>
      <c r="O302" s="113">
        <f t="shared" si="73"/>
        <v>81.32467807831536</v>
      </c>
      <c r="P302" s="113">
        <f t="shared" si="73"/>
        <v>81.32467807831536</v>
      </c>
      <c r="Q302" s="113">
        <f t="shared" si="73"/>
        <v>81.32467807831536</v>
      </c>
      <c r="R302" s="149">
        <f>SUM(F302:Q302)</f>
        <v>975.8961369397845</v>
      </c>
      <c r="S302" s="173">
        <f>R302/12</f>
        <v>81.32467807831537</v>
      </c>
      <c r="T302" s="149">
        <f>MAX(F302:Q302)</f>
        <v>81.32467807831536</v>
      </c>
    </row>
    <row r="303" spans="1:20" ht="15.75">
      <c r="A303" s="36"/>
      <c r="B303" s="108"/>
      <c r="C303" s="120"/>
      <c r="D303" s="136"/>
      <c r="E303" s="109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4"/>
      <c r="S303" s="180"/>
      <c r="T303" s="63"/>
    </row>
    <row r="304" spans="1:20" ht="31.5">
      <c r="A304" s="36"/>
      <c r="B304" s="108" t="s">
        <v>18</v>
      </c>
      <c r="C304" s="120"/>
      <c r="D304" s="136" t="s">
        <v>562</v>
      </c>
      <c r="E304" s="109" t="s">
        <v>372</v>
      </c>
      <c r="F304" s="113">
        <v>35.97</v>
      </c>
      <c r="G304" s="113">
        <v>68.76</v>
      </c>
      <c r="H304" s="113">
        <v>100.31</v>
      </c>
      <c r="I304" s="113">
        <v>100.71</v>
      </c>
      <c r="J304" s="113">
        <v>93.91</v>
      </c>
      <c r="K304" s="113">
        <v>76.15</v>
      </c>
      <c r="L304" s="113">
        <v>93.91</v>
      </c>
      <c r="M304" s="113">
        <v>100.52</v>
      </c>
      <c r="N304" s="113">
        <v>99.4</v>
      </c>
      <c r="O304" s="113">
        <v>101.22</v>
      </c>
      <c r="P304" s="113">
        <v>94.29</v>
      </c>
      <c r="Q304" s="113">
        <v>101.45</v>
      </c>
      <c r="R304" s="114"/>
      <c r="S304" s="180"/>
      <c r="T304" s="112"/>
    </row>
    <row r="305" spans="1:20" ht="15.75">
      <c r="A305" s="36"/>
      <c r="B305" s="108"/>
      <c r="C305" s="120"/>
      <c r="D305" s="136" t="s">
        <v>563</v>
      </c>
      <c r="E305" s="109"/>
      <c r="F305" s="113">
        <v>96.42</v>
      </c>
      <c r="G305" s="113">
        <v>95.64</v>
      </c>
      <c r="H305" s="113">
        <v>80.87</v>
      </c>
      <c r="I305" s="113">
        <v>57.47</v>
      </c>
      <c r="J305" s="113">
        <v>62.72</v>
      </c>
      <c r="K305" s="113">
        <v>66.93</v>
      </c>
      <c r="L305" s="113">
        <f aca="true" t="shared" si="74" ref="L305:Q305">(L289/(1-6.5%))/(1.5*24*L$10)*100</f>
        <v>0</v>
      </c>
      <c r="M305" s="113">
        <f t="shared" si="74"/>
        <v>0</v>
      </c>
      <c r="N305" s="113">
        <f t="shared" si="74"/>
        <v>0</v>
      </c>
      <c r="O305" s="113">
        <f t="shared" si="74"/>
        <v>0</v>
      </c>
      <c r="P305" s="113">
        <f t="shared" si="74"/>
        <v>0</v>
      </c>
      <c r="Q305" s="113">
        <f t="shared" si="74"/>
        <v>0</v>
      </c>
      <c r="R305" s="114"/>
      <c r="S305" s="180"/>
      <c r="T305" s="112"/>
    </row>
    <row r="306" spans="1:20" ht="15.75">
      <c r="A306" s="36"/>
      <c r="B306" s="108"/>
      <c r="C306" s="120"/>
      <c r="D306" s="136" t="s">
        <v>685</v>
      </c>
      <c r="E306" s="109"/>
      <c r="F306" s="113">
        <v>83</v>
      </c>
      <c r="G306" s="113">
        <v>83</v>
      </c>
      <c r="H306" s="113">
        <v>83</v>
      </c>
      <c r="I306" s="113">
        <v>83</v>
      </c>
      <c r="J306" s="113">
        <v>83</v>
      </c>
      <c r="K306" s="113">
        <v>83</v>
      </c>
      <c r="L306" s="113">
        <v>83</v>
      </c>
      <c r="M306" s="113">
        <v>83</v>
      </c>
      <c r="N306" s="113">
        <v>83</v>
      </c>
      <c r="O306" s="113">
        <v>83</v>
      </c>
      <c r="P306" s="113">
        <v>83</v>
      </c>
      <c r="Q306" s="113">
        <v>83</v>
      </c>
      <c r="R306" s="114"/>
      <c r="S306" s="180"/>
      <c r="T306" s="112"/>
    </row>
    <row r="307" spans="1:20" ht="15.75">
      <c r="A307" s="36"/>
      <c r="B307" s="108"/>
      <c r="C307" s="120"/>
      <c r="D307" s="136"/>
      <c r="E307" s="109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4"/>
      <c r="S307" s="180"/>
      <c r="T307" s="112"/>
    </row>
    <row r="308" spans="1:20" ht="15.75">
      <c r="A308" s="36"/>
      <c r="B308" s="108"/>
      <c r="C308" s="120"/>
      <c r="D308" s="167"/>
      <c r="E308" s="109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4"/>
      <c r="S308" s="180"/>
      <c r="T308" s="63"/>
    </row>
    <row r="309" spans="1:20" ht="47.25">
      <c r="A309" s="36"/>
      <c r="B309" s="108" t="s">
        <v>346</v>
      </c>
      <c r="C309" s="120"/>
      <c r="D309" s="167"/>
      <c r="E309" s="109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4"/>
      <c r="S309" s="180"/>
      <c r="T309" s="63"/>
    </row>
    <row r="310" spans="1:20" ht="15.75">
      <c r="A310" s="36"/>
      <c r="B310" s="108" t="s">
        <v>428</v>
      </c>
      <c r="D310" s="136" t="s">
        <v>562</v>
      </c>
      <c r="E310" s="109" t="s">
        <v>367</v>
      </c>
      <c r="F310" s="113">
        <f>F267+F246+F225+F204+F183+F162+F288</f>
        <v>3065.7035140000003</v>
      </c>
      <c r="G310" s="113">
        <f aca="true" t="shared" si="75" ref="G310:Q310">G267+G246+G225+G204+G183+G162+G288</f>
        <v>3565.163392</v>
      </c>
      <c r="H310" s="113">
        <f t="shared" si="75"/>
        <v>3858.687398</v>
      </c>
      <c r="I310" s="113">
        <f t="shared" si="75"/>
        <v>3970.0813550000003</v>
      </c>
      <c r="J310" s="113">
        <f t="shared" si="75"/>
        <v>3703.489131</v>
      </c>
      <c r="K310" s="113">
        <f t="shared" si="75"/>
        <v>3629.706628</v>
      </c>
      <c r="L310" s="113">
        <f t="shared" si="75"/>
        <v>3558.8643119999997</v>
      </c>
      <c r="M310" s="113">
        <f t="shared" si="75"/>
        <v>4096.029732999999</v>
      </c>
      <c r="N310" s="113">
        <f t="shared" si="75"/>
        <v>4495.872519</v>
      </c>
      <c r="O310" s="113">
        <f t="shared" si="75"/>
        <v>4609.465336</v>
      </c>
      <c r="P310" s="113">
        <f t="shared" si="75"/>
        <v>3972.9126529999994</v>
      </c>
      <c r="Q310" s="113">
        <f t="shared" si="75"/>
        <v>4482.262014</v>
      </c>
      <c r="R310" s="145">
        <f>SUM(F310:Q310)</f>
        <v>47008.237985</v>
      </c>
      <c r="S310" s="161">
        <f>R310/12</f>
        <v>3917.353165416667</v>
      </c>
      <c r="T310" s="145">
        <f>MAX(F310:Q310)</f>
        <v>4609.465336</v>
      </c>
    </row>
    <row r="311" spans="1:20" ht="15.75">
      <c r="A311" s="36"/>
      <c r="B311" s="108"/>
      <c r="D311" s="136" t="s">
        <v>563</v>
      </c>
      <c r="E311" s="109"/>
      <c r="F311" s="113">
        <f aca="true" t="shared" si="76" ref="F311:Q312">F268+F247+F226+F205+F184+F163+F289</f>
        <v>3919.278891</v>
      </c>
      <c r="G311" s="113">
        <f t="shared" si="76"/>
        <v>4283.2315800999995</v>
      </c>
      <c r="H311" s="113">
        <f t="shared" si="76"/>
        <v>3703.8597360000003</v>
      </c>
      <c r="I311" s="113">
        <f t="shared" si="76"/>
        <v>3620.687339</v>
      </c>
      <c r="J311" s="113">
        <f t="shared" si="76"/>
        <v>3609.4204620000005</v>
      </c>
      <c r="K311" s="113">
        <f t="shared" si="76"/>
        <v>3576.910144</v>
      </c>
      <c r="L311" s="113">
        <f t="shared" si="76"/>
        <v>4299.4445000000005</v>
      </c>
      <c r="M311" s="113">
        <f t="shared" si="76"/>
        <v>4299.4445000000005</v>
      </c>
      <c r="N311" s="113">
        <f t="shared" si="76"/>
        <v>4299.4445000000005</v>
      </c>
      <c r="O311" s="113">
        <f t="shared" si="76"/>
        <v>4299.4445000000005</v>
      </c>
      <c r="P311" s="113">
        <f t="shared" si="76"/>
        <v>4299.4445000000005</v>
      </c>
      <c r="Q311" s="113">
        <f t="shared" si="76"/>
        <v>4299.4445000000005</v>
      </c>
      <c r="R311" s="149">
        <f>SUM(F311:Q311)</f>
        <v>48510.055152099994</v>
      </c>
      <c r="S311" s="173">
        <f>R311/12</f>
        <v>4042.504596008333</v>
      </c>
      <c r="T311" s="149">
        <f>MAX(F311:Q311)</f>
        <v>4299.4445000000005</v>
      </c>
    </row>
    <row r="312" spans="1:20" ht="15.75">
      <c r="A312" s="36"/>
      <c r="B312" s="108"/>
      <c r="D312" s="136" t="s">
        <v>685</v>
      </c>
      <c r="E312" s="109"/>
      <c r="F312" s="113">
        <f t="shared" si="76"/>
        <v>4885.8882297499995</v>
      </c>
      <c r="G312" s="113">
        <f t="shared" si="76"/>
        <v>4885.8882297499995</v>
      </c>
      <c r="H312" s="113">
        <f t="shared" si="76"/>
        <v>4885.8882297499995</v>
      </c>
      <c r="I312" s="113">
        <f t="shared" si="76"/>
        <v>4885.8882297499995</v>
      </c>
      <c r="J312" s="113">
        <f t="shared" si="76"/>
        <v>4885.8882297499995</v>
      </c>
      <c r="K312" s="113">
        <f t="shared" si="76"/>
        <v>4885.8882297499995</v>
      </c>
      <c r="L312" s="113">
        <f t="shared" si="76"/>
        <v>4885.8882297499995</v>
      </c>
      <c r="M312" s="113">
        <f t="shared" si="76"/>
        <v>4885.8882297499995</v>
      </c>
      <c r="N312" s="113">
        <f t="shared" si="76"/>
        <v>4885.8882297499995</v>
      </c>
      <c r="O312" s="113">
        <f t="shared" si="76"/>
        <v>4885.8882297499995</v>
      </c>
      <c r="P312" s="113">
        <f t="shared" si="76"/>
        <v>4885.8882297499995</v>
      </c>
      <c r="Q312" s="113">
        <f t="shared" si="76"/>
        <v>4885.8882297499995</v>
      </c>
      <c r="R312" s="149">
        <f>SUM(F312:Q312)</f>
        <v>58630.658757000005</v>
      </c>
      <c r="S312" s="173">
        <f>R312/12</f>
        <v>4885.88822975</v>
      </c>
      <c r="T312" s="149">
        <f>MAX(F312:Q312)</f>
        <v>4885.8882297499995</v>
      </c>
    </row>
    <row r="313" spans="1:20" ht="15.75">
      <c r="A313" s="36"/>
      <c r="B313" s="108"/>
      <c r="D313" s="136"/>
      <c r="E313" s="109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4"/>
      <c r="S313" s="180"/>
      <c r="T313" s="63"/>
    </row>
    <row r="314" spans="1:20" ht="15.75">
      <c r="A314" s="36"/>
      <c r="B314" s="108" t="s">
        <v>347</v>
      </c>
      <c r="D314" s="136" t="s">
        <v>562</v>
      </c>
      <c r="E314" s="109" t="s">
        <v>367</v>
      </c>
      <c r="F314" s="114">
        <f>F279+F258+F237+F216+F195+F174+F300</f>
        <v>441.503</v>
      </c>
      <c r="G314" s="114">
        <f aca="true" t="shared" si="77" ref="G314:Q314">G279+G258+G237+G216+G195+G174+G300</f>
        <v>561.344</v>
      </c>
      <c r="H314" s="114">
        <f t="shared" si="77"/>
        <v>609.971</v>
      </c>
      <c r="I314" s="114">
        <f t="shared" si="77"/>
        <v>591.16</v>
      </c>
      <c r="J314" s="114">
        <f t="shared" si="77"/>
        <v>459.545</v>
      </c>
      <c r="K314" s="114">
        <f t="shared" si="77"/>
        <v>513.6469999999999</v>
      </c>
      <c r="L314" s="114">
        <f t="shared" si="77"/>
        <v>361.986</v>
      </c>
      <c r="M314" s="114">
        <f t="shared" si="77"/>
        <v>410.69000000000005</v>
      </c>
      <c r="N314" s="114">
        <f t="shared" si="77"/>
        <v>584.445</v>
      </c>
      <c r="O314" s="114">
        <f t="shared" si="77"/>
        <v>607.0719999999999</v>
      </c>
      <c r="P314" s="114">
        <f t="shared" si="77"/>
        <v>520.031</v>
      </c>
      <c r="Q314" s="114">
        <f t="shared" si="77"/>
        <v>554.885</v>
      </c>
      <c r="R314" s="145">
        <f>SUM(F314:Q314)</f>
        <v>6216.279</v>
      </c>
      <c r="S314" s="161">
        <f>R314/12</f>
        <v>518.0232500000001</v>
      </c>
      <c r="T314" s="145">
        <f>MAX(F314:Q314)</f>
        <v>609.971</v>
      </c>
    </row>
    <row r="315" spans="1:20" ht="15.75">
      <c r="A315" s="36"/>
      <c r="B315" s="108"/>
      <c r="D315" s="136" t="s">
        <v>563</v>
      </c>
      <c r="E315" s="109"/>
      <c r="F315" s="114">
        <f aca="true" t="shared" si="78" ref="F315:Q316">F280+F259+F238+F217+F196+F175+F301</f>
        <v>584.476</v>
      </c>
      <c r="G315" s="114">
        <f t="shared" si="78"/>
        <v>634.387</v>
      </c>
      <c r="H315" s="114">
        <f t="shared" si="78"/>
        <v>544.722</v>
      </c>
      <c r="I315" s="114">
        <f t="shared" si="78"/>
        <v>550.587</v>
      </c>
      <c r="J315" s="114">
        <f t="shared" si="78"/>
        <v>465.933</v>
      </c>
      <c r="K315" s="114">
        <f t="shared" si="78"/>
        <v>434.28599999999994</v>
      </c>
      <c r="L315" s="114">
        <f t="shared" si="78"/>
        <v>535.7316666666667</v>
      </c>
      <c r="M315" s="114">
        <f t="shared" si="78"/>
        <v>535.7316666666667</v>
      </c>
      <c r="N315" s="114">
        <f t="shared" si="78"/>
        <v>535.7316666666667</v>
      </c>
      <c r="O315" s="114">
        <f t="shared" si="78"/>
        <v>535.7316666666667</v>
      </c>
      <c r="P315" s="114">
        <f t="shared" si="78"/>
        <v>535.7316666666667</v>
      </c>
      <c r="Q315" s="114">
        <f t="shared" si="78"/>
        <v>535.7316666666667</v>
      </c>
      <c r="R315" s="149">
        <f>SUM(F315:Q315)</f>
        <v>6428.780999999999</v>
      </c>
      <c r="S315" s="173">
        <f>R315/12</f>
        <v>535.7317499999999</v>
      </c>
      <c r="T315" s="149">
        <f>MAX(F315:Q315)</f>
        <v>634.387</v>
      </c>
    </row>
    <row r="316" spans="1:20" ht="15.75">
      <c r="A316" s="36"/>
      <c r="B316" s="108"/>
      <c r="D316" s="136" t="s">
        <v>685</v>
      </c>
      <c r="E316" s="109"/>
      <c r="F316" s="114">
        <f t="shared" si="78"/>
        <v>628.9127029885535</v>
      </c>
      <c r="G316" s="114">
        <f t="shared" si="78"/>
        <v>628.9127029885535</v>
      </c>
      <c r="H316" s="114">
        <f t="shared" si="78"/>
        <v>628.9127029885535</v>
      </c>
      <c r="I316" s="114">
        <f t="shared" si="78"/>
        <v>628.9127029885535</v>
      </c>
      <c r="J316" s="114">
        <f t="shared" si="78"/>
        <v>628.9127029885535</v>
      </c>
      <c r="K316" s="114">
        <f t="shared" si="78"/>
        <v>628.9127029885535</v>
      </c>
      <c r="L316" s="114">
        <f t="shared" si="78"/>
        <v>628.9127029885535</v>
      </c>
      <c r="M316" s="114">
        <f t="shared" si="78"/>
        <v>628.9127029885535</v>
      </c>
      <c r="N316" s="114">
        <f t="shared" si="78"/>
        <v>628.9127029885535</v>
      </c>
      <c r="O316" s="114">
        <f t="shared" si="78"/>
        <v>628.9127029885535</v>
      </c>
      <c r="P316" s="114">
        <f t="shared" si="78"/>
        <v>628.9127029885535</v>
      </c>
      <c r="Q316" s="114">
        <f t="shared" si="78"/>
        <v>628.9127029885535</v>
      </c>
      <c r="R316" s="149">
        <f>SUM(F316:Q316)</f>
        <v>7546.95243586264</v>
      </c>
      <c r="S316" s="173">
        <f>R316/12</f>
        <v>628.9127029885534</v>
      </c>
      <c r="T316" s="149">
        <f>MAX(F316:Q316)</f>
        <v>628.9127029885535</v>
      </c>
    </row>
    <row r="317" spans="1:20" ht="15.75">
      <c r="A317" s="36"/>
      <c r="B317" s="108"/>
      <c r="D317" s="136"/>
      <c r="E317" s="109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4"/>
      <c r="S317" s="180"/>
      <c r="T317" s="63"/>
    </row>
    <row r="318" spans="1:20" ht="15.75">
      <c r="A318" s="36">
        <v>19</v>
      </c>
      <c r="B318" s="108" t="s">
        <v>397</v>
      </c>
      <c r="D318" s="136"/>
      <c r="E318" s="109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4"/>
      <c r="S318" s="180"/>
      <c r="T318" s="63"/>
    </row>
    <row r="319" spans="1:20" ht="31.5">
      <c r="A319" s="36"/>
      <c r="B319" s="108" t="s">
        <v>27</v>
      </c>
      <c r="D319" s="136" t="s">
        <v>562</v>
      </c>
      <c r="E319" s="109" t="s">
        <v>367</v>
      </c>
      <c r="F319" s="113">
        <v>77.218</v>
      </c>
      <c r="G319" s="113">
        <v>147.199</v>
      </c>
      <c r="H319" s="113">
        <v>251.697</v>
      </c>
      <c r="I319" s="113">
        <v>261.176</v>
      </c>
      <c r="J319" s="113">
        <v>288.051</v>
      </c>
      <c r="K319" s="113">
        <v>266.84</v>
      </c>
      <c r="L319" s="113">
        <v>267.259035</v>
      </c>
      <c r="M319" s="113">
        <v>120.983</v>
      </c>
      <c r="N319" s="113">
        <v>39.248</v>
      </c>
      <c r="O319" s="113">
        <v>40.856106</v>
      </c>
      <c r="P319" s="113">
        <v>18.946345</v>
      </c>
      <c r="Q319" s="113">
        <v>30.720114</v>
      </c>
      <c r="R319" s="145">
        <f>SUM(F319:Q319)</f>
        <v>1810.1935999999998</v>
      </c>
      <c r="S319" s="161">
        <f>R319/12</f>
        <v>150.84946666666664</v>
      </c>
      <c r="T319" s="145">
        <f>MAX(F319:Q319)</f>
        <v>288.051</v>
      </c>
    </row>
    <row r="320" spans="1:20" ht="15.75">
      <c r="A320" s="36"/>
      <c r="B320" s="108"/>
      <c r="D320" s="136" t="s">
        <v>563</v>
      </c>
      <c r="E320" s="109"/>
      <c r="F320" s="113">
        <v>41.448284</v>
      </c>
      <c r="G320" s="113">
        <v>103.033535</v>
      </c>
      <c r="H320" s="113">
        <v>197.913653</v>
      </c>
      <c r="I320" s="113">
        <v>280.203039</v>
      </c>
      <c r="J320" s="113">
        <v>280.18938</v>
      </c>
      <c r="K320" s="113">
        <v>275.951</v>
      </c>
      <c r="L320" s="113">
        <v>240</v>
      </c>
      <c r="M320" s="113">
        <v>80</v>
      </c>
      <c r="N320" s="113">
        <v>55</v>
      </c>
      <c r="O320" s="113">
        <v>57</v>
      </c>
      <c r="P320" s="113">
        <v>40</v>
      </c>
      <c r="Q320" s="113">
        <v>50</v>
      </c>
      <c r="R320" s="149">
        <f>SUM(F320:Q320)</f>
        <v>1700.738891</v>
      </c>
      <c r="S320" s="173">
        <f>R320/12</f>
        <v>141.72824091666666</v>
      </c>
      <c r="T320" s="149">
        <f>MAX(F320:Q320)</f>
        <v>280.203039</v>
      </c>
    </row>
    <row r="321" spans="1:20" ht="15.75">
      <c r="A321" s="36"/>
      <c r="B321" s="108"/>
      <c r="D321" s="136" t="s">
        <v>685</v>
      </c>
      <c r="E321" s="109"/>
      <c r="F321" s="113">
        <v>55.6</v>
      </c>
      <c r="G321" s="113">
        <v>130</v>
      </c>
      <c r="H321" s="113">
        <v>160</v>
      </c>
      <c r="I321" s="113">
        <v>270</v>
      </c>
      <c r="J321" s="113">
        <v>280</v>
      </c>
      <c r="K321" s="113">
        <v>255.5</v>
      </c>
      <c r="L321" s="113">
        <v>240</v>
      </c>
      <c r="M321" s="113">
        <v>135</v>
      </c>
      <c r="N321" s="113">
        <v>80</v>
      </c>
      <c r="O321" s="113">
        <v>45.7</v>
      </c>
      <c r="P321" s="113">
        <v>53</v>
      </c>
      <c r="Q321" s="113">
        <v>64</v>
      </c>
      <c r="R321" s="149">
        <f>SUM(F321:Q321)</f>
        <v>1768.8</v>
      </c>
      <c r="S321" s="173">
        <f>R321/12</f>
        <v>147.4</v>
      </c>
      <c r="T321" s="149">
        <f>MAX(F321:Q321)</f>
        <v>280</v>
      </c>
    </row>
    <row r="322" spans="1:20" ht="15.75">
      <c r="A322" s="36"/>
      <c r="B322" s="108"/>
      <c r="D322" s="136"/>
      <c r="E322" s="109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 t="s">
        <v>610</v>
      </c>
      <c r="P322" s="113"/>
      <c r="Q322" s="113"/>
      <c r="R322" s="114"/>
      <c r="S322" s="180"/>
      <c r="T322" s="63"/>
    </row>
    <row r="323" spans="1:20" ht="15.75">
      <c r="A323" s="36"/>
      <c r="B323" s="108" t="s">
        <v>22</v>
      </c>
      <c r="D323" s="136" t="s">
        <v>562</v>
      </c>
      <c r="E323" s="109" t="s">
        <v>372</v>
      </c>
      <c r="F323" s="113">
        <v>15.19</v>
      </c>
      <c r="G323" s="113">
        <v>15.19</v>
      </c>
      <c r="H323" s="113">
        <v>15.19</v>
      </c>
      <c r="I323" s="113">
        <v>15.19</v>
      </c>
      <c r="J323" s="113">
        <v>15.19</v>
      </c>
      <c r="K323" s="113">
        <v>15.19</v>
      </c>
      <c r="L323" s="113">
        <v>15.19</v>
      </c>
      <c r="M323" s="113">
        <v>15.19</v>
      </c>
      <c r="N323" s="113">
        <v>15.19</v>
      </c>
      <c r="O323" s="113">
        <v>15.19</v>
      </c>
      <c r="P323" s="113">
        <v>15.19</v>
      </c>
      <c r="Q323" s="113">
        <v>15.19</v>
      </c>
      <c r="R323" s="114"/>
      <c r="S323" s="180"/>
      <c r="T323" s="63"/>
    </row>
    <row r="324" spans="1:20" ht="15.75">
      <c r="A324" s="36"/>
      <c r="B324" s="108"/>
      <c r="D324" s="136" t="s">
        <v>563</v>
      </c>
      <c r="E324" s="109"/>
      <c r="F324" s="113">
        <v>15.19</v>
      </c>
      <c r="G324" s="113">
        <v>15.19</v>
      </c>
      <c r="H324" s="113">
        <v>15.19</v>
      </c>
      <c r="I324" s="113">
        <v>15.19</v>
      </c>
      <c r="J324" s="113">
        <v>15.19</v>
      </c>
      <c r="K324" s="113">
        <v>15.19</v>
      </c>
      <c r="L324" s="113">
        <v>15.19</v>
      </c>
      <c r="M324" s="113">
        <v>15.19</v>
      </c>
      <c r="N324" s="113">
        <v>15.19</v>
      </c>
      <c r="O324" s="113">
        <v>15.19</v>
      </c>
      <c r="P324" s="113">
        <v>15.19</v>
      </c>
      <c r="Q324" s="113">
        <v>15.19</v>
      </c>
      <c r="R324" s="114"/>
      <c r="S324" s="180"/>
      <c r="T324" s="63"/>
    </row>
    <row r="325" spans="1:20" ht="15.75">
      <c r="A325" s="36"/>
      <c r="B325" s="108"/>
      <c r="D325" s="136" t="s">
        <v>685</v>
      </c>
      <c r="E325" s="109"/>
      <c r="F325" s="113">
        <v>15.19</v>
      </c>
      <c r="G325" s="113">
        <v>15.19</v>
      </c>
      <c r="H325" s="113">
        <v>15.19</v>
      </c>
      <c r="I325" s="113">
        <v>15.19</v>
      </c>
      <c r="J325" s="113">
        <v>15.19</v>
      </c>
      <c r="K325" s="113">
        <v>15.19</v>
      </c>
      <c r="L325" s="113">
        <v>15.19</v>
      </c>
      <c r="M325" s="113">
        <v>15.19</v>
      </c>
      <c r="N325" s="113">
        <v>15.19</v>
      </c>
      <c r="O325" s="113">
        <v>15.19</v>
      </c>
      <c r="P325" s="113">
        <v>15.19</v>
      </c>
      <c r="Q325" s="113">
        <v>15.19</v>
      </c>
      <c r="R325" s="114"/>
      <c r="S325" s="180"/>
      <c r="T325" s="63"/>
    </row>
    <row r="326" spans="1:20" ht="15.75">
      <c r="A326" s="36"/>
      <c r="B326" s="108"/>
      <c r="D326" s="136"/>
      <c r="E326" s="109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4"/>
      <c r="S326" s="180"/>
      <c r="T326" s="63"/>
    </row>
    <row r="327" spans="1:20" ht="15.75">
      <c r="A327" s="36"/>
      <c r="B327" s="108" t="s">
        <v>22</v>
      </c>
      <c r="C327" s="120"/>
      <c r="D327" s="136" t="s">
        <v>562</v>
      </c>
      <c r="E327" s="109" t="s">
        <v>367</v>
      </c>
      <c r="F327" s="113">
        <f>F319*(F323%)</f>
        <v>11.7294142</v>
      </c>
      <c r="G327" s="113">
        <f aca="true" t="shared" si="79" ref="G327:Q327">G319*(G323%)</f>
        <v>22.359528100000002</v>
      </c>
      <c r="H327" s="113">
        <f t="shared" si="79"/>
        <v>38.2327743</v>
      </c>
      <c r="I327" s="113">
        <f t="shared" si="79"/>
        <v>39.6726344</v>
      </c>
      <c r="J327" s="113">
        <f t="shared" si="79"/>
        <v>43.7549469</v>
      </c>
      <c r="K327" s="113">
        <f t="shared" si="79"/>
        <v>40.532996</v>
      </c>
      <c r="L327" s="113">
        <f t="shared" si="79"/>
        <v>40.5966474165</v>
      </c>
      <c r="M327" s="113">
        <f t="shared" si="79"/>
        <v>18.377317700000003</v>
      </c>
      <c r="N327" s="113">
        <f t="shared" si="79"/>
        <v>5.9617712</v>
      </c>
      <c r="O327" s="113">
        <f t="shared" si="79"/>
        <v>6.2060425014</v>
      </c>
      <c r="P327" s="113">
        <f t="shared" si="79"/>
        <v>2.8779498055</v>
      </c>
      <c r="Q327" s="113">
        <f t="shared" si="79"/>
        <v>4.6663853166</v>
      </c>
      <c r="R327" s="145">
        <f>SUM(F327:Q327)</f>
        <v>274.96840784</v>
      </c>
      <c r="S327" s="161">
        <f>R327/12</f>
        <v>22.914033986666666</v>
      </c>
      <c r="T327" s="145">
        <f>MAX(F327:Q327)</f>
        <v>43.7549469</v>
      </c>
    </row>
    <row r="328" spans="1:20" ht="15.75">
      <c r="A328" s="36"/>
      <c r="B328" s="108"/>
      <c r="C328" s="120"/>
      <c r="D328" s="136" t="s">
        <v>563</v>
      </c>
      <c r="E328" s="109"/>
      <c r="F328" s="113">
        <f aca="true" t="shared" si="80" ref="F328:Q329">F320*(F324%)</f>
        <v>6.295994339600001</v>
      </c>
      <c r="G328" s="113">
        <f t="shared" si="80"/>
        <v>15.6507939665</v>
      </c>
      <c r="H328" s="113">
        <f t="shared" si="80"/>
        <v>30.063083890700003</v>
      </c>
      <c r="I328" s="113">
        <f t="shared" si="80"/>
        <v>42.5628416241</v>
      </c>
      <c r="J328" s="113">
        <f t="shared" si="80"/>
        <v>42.560766822000005</v>
      </c>
      <c r="K328" s="113">
        <f t="shared" si="80"/>
        <v>41.9169569</v>
      </c>
      <c r="L328" s="113">
        <f t="shared" si="80"/>
        <v>36.456</v>
      </c>
      <c r="M328" s="113">
        <f t="shared" si="80"/>
        <v>12.152000000000001</v>
      </c>
      <c r="N328" s="113">
        <f t="shared" si="80"/>
        <v>8.3545</v>
      </c>
      <c r="O328" s="113">
        <f t="shared" si="80"/>
        <v>8.6583</v>
      </c>
      <c r="P328" s="113">
        <f t="shared" si="80"/>
        <v>6.0760000000000005</v>
      </c>
      <c r="Q328" s="113">
        <f t="shared" si="80"/>
        <v>7.595000000000001</v>
      </c>
      <c r="R328" s="149">
        <f>SUM(F328:Q328)</f>
        <v>258.3422375429</v>
      </c>
      <c r="S328" s="173">
        <f>R328/12</f>
        <v>21.528519795241667</v>
      </c>
      <c r="T328" s="149">
        <f>MAX(F328:Q328)</f>
        <v>42.5628416241</v>
      </c>
    </row>
    <row r="329" spans="1:20" ht="15.75">
      <c r="A329" s="36"/>
      <c r="B329" s="108"/>
      <c r="C329" s="120"/>
      <c r="D329" s="136" t="s">
        <v>685</v>
      </c>
      <c r="E329" s="109"/>
      <c r="F329" s="113">
        <f t="shared" si="80"/>
        <v>8.445640000000001</v>
      </c>
      <c r="G329" s="113">
        <f t="shared" si="80"/>
        <v>19.747</v>
      </c>
      <c r="H329" s="113">
        <f t="shared" si="80"/>
        <v>24.304000000000002</v>
      </c>
      <c r="I329" s="113">
        <f t="shared" si="80"/>
        <v>41.013000000000005</v>
      </c>
      <c r="J329" s="113">
        <f t="shared" si="80"/>
        <v>42.532000000000004</v>
      </c>
      <c r="K329" s="113">
        <f t="shared" si="80"/>
        <v>38.81045</v>
      </c>
      <c r="L329" s="113">
        <f t="shared" si="80"/>
        <v>36.456</v>
      </c>
      <c r="M329" s="113">
        <f t="shared" si="80"/>
        <v>20.506500000000003</v>
      </c>
      <c r="N329" s="113">
        <f t="shared" si="80"/>
        <v>12.152000000000001</v>
      </c>
      <c r="O329" s="113">
        <f t="shared" si="80"/>
        <v>6.94183</v>
      </c>
      <c r="P329" s="113">
        <f t="shared" si="80"/>
        <v>8.0507</v>
      </c>
      <c r="Q329" s="113">
        <f t="shared" si="80"/>
        <v>9.7216</v>
      </c>
      <c r="R329" s="149">
        <f>SUM(F329:Q329)</f>
        <v>268.68072</v>
      </c>
      <c r="S329" s="173">
        <f>R329/12</f>
        <v>22.390060000000002</v>
      </c>
      <c r="T329" s="149">
        <f>MAX(F329:Q329)</f>
        <v>42.532000000000004</v>
      </c>
    </row>
    <row r="330" spans="1:20" ht="15.75">
      <c r="A330" s="36"/>
      <c r="B330" s="108"/>
      <c r="C330" s="120"/>
      <c r="D330" s="136"/>
      <c r="E330" s="109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4"/>
      <c r="S330" s="180"/>
      <c r="T330" s="63"/>
    </row>
    <row r="331" spans="1:20" ht="15.75">
      <c r="A331" s="36"/>
      <c r="B331" s="108" t="s">
        <v>56</v>
      </c>
      <c r="C331" s="120"/>
      <c r="D331" s="136" t="s">
        <v>562</v>
      </c>
      <c r="E331" s="109" t="s">
        <v>367</v>
      </c>
      <c r="F331" s="113">
        <v>11.401</v>
      </c>
      <c r="G331" s="113">
        <v>21.734</v>
      </c>
      <c r="H331" s="113">
        <v>37.17</v>
      </c>
      <c r="I331" s="113">
        <v>38.598</v>
      </c>
      <c r="J331" s="113">
        <v>42.512</v>
      </c>
      <c r="K331" s="113">
        <v>39.503</v>
      </c>
      <c r="L331" s="113">
        <v>35.901</v>
      </c>
      <c r="M331" s="113">
        <v>17.903</v>
      </c>
      <c r="N331" s="113">
        <v>9.88</v>
      </c>
      <c r="O331" s="113">
        <v>6.004</v>
      </c>
      <c r="P331" s="113">
        <v>2.792</v>
      </c>
      <c r="Q331" s="113">
        <v>4.543</v>
      </c>
      <c r="R331" s="145">
        <f>SUM(F331:Q331)</f>
        <v>267.941</v>
      </c>
      <c r="S331" s="161">
        <f>R331/12</f>
        <v>22.328416666666666</v>
      </c>
      <c r="T331" s="145">
        <f>MAX(F331:Q331)</f>
        <v>42.512</v>
      </c>
    </row>
    <row r="332" spans="1:20" ht="15.75">
      <c r="A332" s="36"/>
      <c r="B332" s="108"/>
      <c r="C332" s="120"/>
      <c r="D332" s="136" t="s">
        <v>563</v>
      </c>
      <c r="E332" s="109"/>
      <c r="F332" s="113">
        <v>6.147</v>
      </c>
      <c r="G332" s="113">
        <v>15.278</v>
      </c>
      <c r="H332" s="113">
        <v>29.33</v>
      </c>
      <c r="I332" s="113">
        <v>41.499</v>
      </c>
      <c r="J332" s="113">
        <v>41.458</v>
      </c>
      <c r="K332" s="113">
        <v>40.229</v>
      </c>
      <c r="L332" s="113">
        <f aca="true" t="shared" si="81" ref="L332:Q332">100/6</f>
        <v>16.666666666666668</v>
      </c>
      <c r="M332" s="113">
        <f t="shared" si="81"/>
        <v>16.666666666666668</v>
      </c>
      <c r="N332" s="113">
        <f t="shared" si="81"/>
        <v>16.666666666666668</v>
      </c>
      <c r="O332" s="113">
        <f t="shared" si="81"/>
        <v>16.666666666666668</v>
      </c>
      <c r="P332" s="113">
        <f t="shared" si="81"/>
        <v>16.666666666666668</v>
      </c>
      <c r="Q332" s="113">
        <f t="shared" si="81"/>
        <v>16.666666666666668</v>
      </c>
      <c r="R332" s="149">
        <f>SUM(F332:Q332)</f>
        <v>273.941</v>
      </c>
      <c r="S332" s="173">
        <f>R332/12</f>
        <v>22.828416666666666</v>
      </c>
      <c r="T332" s="149">
        <f>MAX(F332:Q332)</f>
        <v>41.499</v>
      </c>
    </row>
    <row r="333" spans="1:20" ht="15.75">
      <c r="A333" s="36"/>
      <c r="B333" s="108"/>
      <c r="C333" s="120"/>
      <c r="D333" s="136" t="s">
        <v>685</v>
      </c>
      <c r="E333" s="109"/>
      <c r="F333" s="113">
        <f>F329*(1-0.021)</f>
        <v>8.26828156</v>
      </c>
      <c r="G333" s="113">
        <f aca="true" t="shared" si="82" ref="G333:Q333">G329*(1-0.021)</f>
        <v>19.332313</v>
      </c>
      <c r="H333" s="113">
        <f t="shared" si="82"/>
        <v>23.793616</v>
      </c>
      <c r="I333" s="113">
        <f t="shared" si="82"/>
        <v>40.151727</v>
      </c>
      <c r="J333" s="113">
        <f t="shared" si="82"/>
        <v>41.638828000000004</v>
      </c>
      <c r="K333" s="113">
        <f t="shared" si="82"/>
        <v>37.99543055</v>
      </c>
      <c r="L333" s="113">
        <f t="shared" si="82"/>
        <v>35.690424</v>
      </c>
      <c r="M333" s="113">
        <f t="shared" si="82"/>
        <v>20.0758635</v>
      </c>
      <c r="N333" s="113">
        <f t="shared" si="82"/>
        <v>11.896808</v>
      </c>
      <c r="O333" s="113">
        <f t="shared" si="82"/>
        <v>6.79605157</v>
      </c>
      <c r="P333" s="113">
        <f t="shared" si="82"/>
        <v>7.881635300000001</v>
      </c>
      <c r="Q333" s="113">
        <f t="shared" si="82"/>
        <v>9.5174464</v>
      </c>
      <c r="R333" s="149">
        <f>SUM(F333:Q333)-0.04</f>
        <v>262.99842488</v>
      </c>
      <c r="S333" s="173">
        <f>R333/12</f>
        <v>21.916535406666668</v>
      </c>
      <c r="T333" s="149">
        <f>MAX(F333:Q333)</f>
        <v>41.638828000000004</v>
      </c>
    </row>
    <row r="334" spans="1:20" ht="15.75">
      <c r="A334" s="36"/>
      <c r="B334" s="108"/>
      <c r="C334" s="120"/>
      <c r="D334" s="136"/>
      <c r="E334" s="109"/>
      <c r="F334" s="113"/>
      <c r="G334" s="113"/>
      <c r="H334" s="113"/>
      <c r="I334" s="113"/>
      <c r="J334" s="113"/>
      <c r="K334" s="113"/>
      <c r="L334" s="113"/>
      <c r="M334" s="113"/>
      <c r="N334" s="113" t="s">
        <v>564</v>
      </c>
      <c r="O334" s="113"/>
      <c r="P334" s="113"/>
      <c r="Q334" s="113"/>
      <c r="R334" s="114"/>
      <c r="S334" s="180"/>
      <c r="T334" s="63"/>
    </row>
    <row r="335" spans="1:20" ht="15.75">
      <c r="A335" s="36">
        <v>20</v>
      </c>
      <c r="B335" s="108" t="s">
        <v>348</v>
      </c>
      <c r="D335" s="136"/>
      <c r="E335" s="109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4"/>
      <c r="S335" s="180"/>
      <c r="T335" s="63"/>
    </row>
    <row r="336" spans="1:20" ht="31.5">
      <c r="A336" s="36"/>
      <c r="B336" s="108" t="s">
        <v>27</v>
      </c>
      <c r="D336" s="136" t="s">
        <v>562</v>
      </c>
      <c r="E336" s="109" t="s">
        <v>367</v>
      </c>
      <c r="F336" s="113">
        <v>109.686</v>
      </c>
      <c r="G336" s="113">
        <v>255.175</v>
      </c>
      <c r="H336" s="113">
        <v>543.435</v>
      </c>
      <c r="I336" s="113">
        <v>717.623</v>
      </c>
      <c r="J336" s="113">
        <v>712.105</v>
      </c>
      <c r="K336" s="113">
        <v>512.569446</v>
      </c>
      <c r="L336" s="113">
        <v>298.374</v>
      </c>
      <c r="M336" s="113">
        <v>177.13785</v>
      </c>
      <c r="N336" s="113"/>
      <c r="O336" s="113">
        <v>38.873322</v>
      </c>
      <c r="P336" s="113">
        <v>13.265759</v>
      </c>
      <c r="Q336" s="113">
        <v>19.858</v>
      </c>
      <c r="R336" s="145">
        <f>SUM(F336:Q336)</f>
        <v>3398.1023769999997</v>
      </c>
      <c r="S336" s="161">
        <f>R336/12</f>
        <v>283.1751980833333</v>
      </c>
      <c r="T336" s="145">
        <f>MAX(F336:Q336)</f>
        <v>717.623</v>
      </c>
    </row>
    <row r="337" spans="1:20" ht="15.75">
      <c r="A337" s="36"/>
      <c r="B337" s="108"/>
      <c r="D337" s="136" t="s">
        <v>563</v>
      </c>
      <c r="E337" s="109"/>
      <c r="F337" s="113">
        <v>21.429428</v>
      </c>
      <c r="G337" s="113">
        <v>164.121188</v>
      </c>
      <c r="H337" s="113">
        <v>389.785971</v>
      </c>
      <c r="I337" s="113">
        <v>708.02624</v>
      </c>
      <c r="J337" s="113">
        <v>715.871738</v>
      </c>
      <c r="K337" s="113">
        <v>512.569446</v>
      </c>
      <c r="L337" s="113">
        <v>400</v>
      </c>
      <c r="M337" s="113">
        <v>50</v>
      </c>
      <c r="N337" s="113">
        <v>30</v>
      </c>
      <c r="O337" s="113">
        <v>15</v>
      </c>
      <c r="P337" s="113">
        <v>18</v>
      </c>
      <c r="Q337" s="113">
        <v>20</v>
      </c>
      <c r="R337" s="149">
        <f>SUM(F337:Q337)</f>
        <v>3044.804011</v>
      </c>
      <c r="S337" s="173">
        <f>R337/12</f>
        <v>253.73366758333336</v>
      </c>
      <c r="T337" s="149">
        <f>MAX(F337:Q337)</f>
        <v>715.871738</v>
      </c>
    </row>
    <row r="338" spans="1:20" ht="15.75">
      <c r="A338" s="36"/>
      <c r="B338" s="108"/>
      <c r="D338" s="136" t="s">
        <v>685</v>
      </c>
      <c r="E338" s="109"/>
      <c r="F338" s="113">
        <v>140</v>
      </c>
      <c r="G338" s="113">
        <v>215.5</v>
      </c>
      <c r="H338" s="113">
        <v>520</v>
      </c>
      <c r="I338" s="113">
        <v>720</v>
      </c>
      <c r="J338" s="113">
        <v>600</v>
      </c>
      <c r="K338" s="113">
        <v>625</v>
      </c>
      <c r="L338" s="113">
        <v>280</v>
      </c>
      <c r="M338" s="113">
        <v>155</v>
      </c>
      <c r="N338" s="113">
        <v>77</v>
      </c>
      <c r="O338" s="113">
        <v>40</v>
      </c>
      <c r="P338" s="113">
        <v>20</v>
      </c>
      <c r="Q338" s="113">
        <v>20</v>
      </c>
      <c r="R338" s="149">
        <f>SUM(F338:Q338)</f>
        <v>3412.5</v>
      </c>
      <c r="S338" s="173">
        <f>R338/12</f>
        <v>284.375</v>
      </c>
      <c r="T338" s="149">
        <f>MAX(F338:Q338)</f>
        <v>720</v>
      </c>
    </row>
    <row r="339" spans="1:20" ht="15.75">
      <c r="A339" s="36"/>
      <c r="B339" s="108"/>
      <c r="D339" s="136"/>
      <c r="E339" s="109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4"/>
      <c r="S339" s="180"/>
      <c r="T339" s="63"/>
    </row>
    <row r="340" spans="1:20" ht="15.75">
      <c r="A340" s="36"/>
      <c r="B340" s="108" t="s">
        <v>22</v>
      </c>
      <c r="D340" s="136" t="s">
        <v>562</v>
      </c>
      <c r="E340" s="109" t="s">
        <v>372</v>
      </c>
      <c r="F340" s="113">
        <v>4.25</v>
      </c>
      <c r="G340" s="113">
        <v>4.25</v>
      </c>
      <c r="H340" s="113">
        <v>4.25</v>
      </c>
      <c r="I340" s="113">
        <v>4.25</v>
      </c>
      <c r="J340" s="113">
        <v>4.25</v>
      </c>
      <c r="K340" s="113">
        <v>4.25</v>
      </c>
      <c r="L340" s="113">
        <v>4.25</v>
      </c>
      <c r="M340" s="113">
        <v>4.25</v>
      </c>
      <c r="N340" s="113">
        <v>4.25</v>
      </c>
      <c r="O340" s="113">
        <v>4.25</v>
      </c>
      <c r="P340" s="113">
        <v>4.25</v>
      </c>
      <c r="Q340" s="113">
        <v>4.25</v>
      </c>
      <c r="R340" s="114"/>
      <c r="S340" s="180"/>
      <c r="T340" s="63"/>
    </row>
    <row r="341" spans="1:20" ht="15.75">
      <c r="A341" s="36"/>
      <c r="B341" s="108"/>
      <c r="D341" s="136" t="s">
        <v>563</v>
      </c>
      <c r="E341" s="109"/>
      <c r="F341" s="113">
        <v>4.25</v>
      </c>
      <c r="G341" s="113">
        <v>4.25</v>
      </c>
      <c r="H341" s="113">
        <v>4.25</v>
      </c>
      <c r="I341" s="113">
        <v>4.25</v>
      </c>
      <c r="J341" s="113">
        <v>4.25</v>
      </c>
      <c r="K341" s="113">
        <v>4.25</v>
      </c>
      <c r="L341" s="113">
        <v>4.25</v>
      </c>
      <c r="M341" s="113">
        <v>4.25</v>
      </c>
      <c r="N341" s="113">
        <v>4.25</v>
      </c>
      <c r="O341" s="113">
        <v>4.25</v>
      </c>
      <c r="P341" s="113">
        <v>4.25</v>
      </c>
      <c r="Q341" s="113">
        <v>4.25</v>
      </c>
      <c r="R341" s="114"/>
      <c r="S341" s="180"/>
      <c r="T341" s="63"/>
    </row>
    <row r="342" spans="1:20" ht="15.75">
      <c r="A342" s="36"/>
      <c r="B342" s="108"/>
      <c r="D342" s="136" t="s">
        <v>685</v>
      </c>
      <c r="E342" s="109"/>
      <c r="F342" s="113">
        <v>4.25</v>
      </c>
      <c r="G342" s="113">
        <v>4.25</v>
      </c>
      <c r="H342" s="113">
        <v>4.25</v>
      </c>
      <c r="I342" s="113">
        <v>4.25</v>
      </c>
      <c r="J342" s="113">
        <v>4.25</v>
      </c>
      <c r="K342" s="113">
        <v>4.25</v>
      </c>
      <c r="L342" s="113">
        <v>4.25</v>
      </c>
      <c r="M342" s="113">
        <v>4.25</v>
      </c>
      <c r="N342" s="113">
        <v>4.25</v>
      </c>
      <c r="O342" s="113">
        <v>4.25</v>
      </c>
      <c r="P342" s="113">
        <v>4.25</v>
      </c>
      <c r="Q342" s="113">
        <v>4.25</v>
      </c>
      <c r="R342" s="114"/>
      <c r="S342" s="180"/>
      <c r="T342" s="63"/>
    </row>
    <row r="343" spans="1:20" ht="15.75">
      <c r="A343" s="36"/>
      <c r="B343" s="108"/>
      <c r="D343" s="136"/>
      <c r="E343" s="109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4"/>
      <c r="S343" s="180"/>
      <c r="T343" s="63"/>
    </row>
    <row r="344" spans="1:20" ht="15.75">
      <c r="A344" s="36"/>
      <c r="B344" s="108" t="s">
        <v>22</v>
      </c>
      <c r="C344" s="120"/>
      <c r="D344" s="136" t="s">
        <v>562</v>
      </c>
      <c r="E344" s="109" t="s">
        <v>367</v>
      </c>
      <c r="F344" s="113">
        <f>F336*(F340%)</f>
        <v>4.6616550000000005</v>
      </c>
      <c r="G344" s="113">
        <f aca="true" t="shared" si="83" ref="G344:Q344">G336*(G340%)</f>
        <v>10.844937500000002</v>
      </c>
      <c r="H344" s="113">
        <f t="shared" si="83"/>
        <v>23.0959875</v>
      </c>
      <c r="I344" s="113">
        <f t="shared" si="83"/>
        <v>30.498977500000006</v>
      </c>
      <c r="J344" s="113">
        <f t="shared" si="83"/>
        <v>30.264462500000004</v>
      </c>
      <c r="K344" s="113">
        <f t="shared" si="83"/>
        <v>21.784201455</v>
      </c>
      <c r="L344" s="113">
        <f t="shared" si="83"/>
        <v>12.680895000000001</v>
      </c>
      <c r="M344" s="113">
        <f t="shared" si="83"/>
        <v>7.528358625</v>
      </c>
      <c r="N344" s="113">
        <f t="shared" si="83"/>
        <v>0</v>
      </c>
      <c r="O344" s="113">
        <f t="shared" si="83"/>
        <v>1.6521161850000001</v>
      </c>
      <c r="P344" s="113">
        <f t="shared" si="83"/>
        <v>0.5637947575</v>
      </c>
      <c r="Q344" s="113">
        <f t="shared" si="83"/>
        <v>0.8439650000000001</v>
      </c>
      <c r="R344" s="145">
        <f>SUM(F344:Q344)</f>
        <v>144.41935102250005</v>
      </c>
      <c r="S344" s="161">
        <f>R344/12</f>
        <v>12.034945918541672</v>
      </c>
      <c r="T344" s="145">
        <f>MAX(F344:Q344)</f>
        <v>30.498977500000006</v>
      </c>
    </row>
    <row r="345" spans="1:20" ht="15.75">
      <c r="A345" s="36"/>
      <c r="B345" s="108"/>
      <c r="C345" s="120"/>
      <c r="D345" s="136" t="s">
        <v>563</v>
      </c>
      <c r="E345" s="109"/>
      <c r="F345" s="113">
        <v>4.662</v>
      </c>
      <c r="G345" s="113">
        <f aca="true" t="shared" si="84" ref="F345:Q346">G337*(G341%)</f>
        <v>6.97515049</v>
      </c>
      <c r="H345" s="113">
        <v>23.096</v>
      </c>
      <c r="I345" s="113">
        <f t="shared" si="84"/>
        <v>30.091115200000004</v>
      </c>
      <c r="J345" s="113">
        <f t="shared" si="84"/>
        <v>30.424548865000006</v>
      </c>
      <c r="K345" s="113">
        <f t="shared" si="84"/>
        <v>21.784201455</v>
      </c>
      <c r="L345" s="113">
        <f t="shared" si="84"/>
        <v>17</v>
      </c>
      <c r="M345" s="113">
        <f t="shared" si="84"/>
        <v>2.125</v>
      </c>
      <c r="N345" s="113">
        <f t="shared" si="84"/>
        <v>1.2750000000000001</v>
      </c>
      <c r="O345" s="113">
        <f t="shared" si="84"/>
        <v>0.6375000000000001</v>
      </c>
      <c r="P345" s="113">
        <f t="shared" si="84"/>
        <v>0.765</v>
      </c>
      <c r="Q345" s="113">
        <f t="shared" si="84"/>
        <v>0.8500000000000001</v>
      </c>
      <c r="R345" s="149">
        <f>SUM(F345:Q345)</f>
        <v>139.68551601</v>
      </c>
      <c r="S345" s="173">
        <f>R345/12</f>
        <v>11.640459667499998</v>
      </c>
      <c r="T345" s="149">
        <f>MAX(F345:Q345)</f>
        <v>30.424548865000006</v>
      </c>
    </row>
    <row r="346" spans="1:20" ht="15.75">
      <c r="A346" s="36"/>
      <c r="B346" s="108"/>
      <c r="C346" s="120"/>
      <c r="D346" s="136" t="s">
        <v>685</v>
      </c>
      <c r="E346" s="109"/>
      <c r="F346" s="113">
        <f t="shared" si="84"/>
        <v>5.95</v>
      </c>
      <c r="G346" s="113">
        <f t="shared" si="84"/>
        <v>9.158750000000001</v>
      </c>
      <c r="H346" s="113">
        <f t="shared" si="84"/>
        <v>22.1</v>
      </c>
      <c r="I346" s="113">
        <f t="shared" si="84"/>
        <v>30.6</v>
      </c>
      <c r="J346" s="113">
        <f t="shared" si="84"/>
        <v>25.500000000000004</v>
      </c>
      <c r="K346" s="113">
        <f t="shared" si="84"/>
        <v>26.562500000000004</v>
      </c>
      <c r="L346" s="113">
        <f t="shared" si="84"/>
        <v>11.9</v>
      </c>
      <c r="M346" s="113">
        <f t="shared" si="84"/>
        <v>6.5875</v>
      </c>
      <c r="N346" s="113">
        <f t="shared" si="84"/>
        <v>3.2725000000000004</v>
      </c>
      <c r="O346" s="113">
        <f t="shared" si="84"/>
        <v>1.7000000000000002</v>
      </c>
      <c r="P346" s="113">
        <f t="shared" si="84"/>
        <v>0.8500000000000001</v>
      </c>
      <c r="Q346" s="113">
        <f t="shared" si="84"/>
        <v>0.8500000000000001</v>
      </c>
      <c r="R346" s="149">
        <f>SUM(F346:Q346)</f>
        <v>145.03125</v>
      </c>
      <c r="S346" s="173">
        <f>R346/12</f>
        <v>12.0859375</v>
      </c>
      <c r="T346" s="149">
        <f>MAX(F346:Q346)</f>
        <v>30.6</v>
      </c>
    </row>
    <row r="347" spans="1:20" ht="15.75">
      <c r="A347" s="36"/>
      <c r="B347" s="108"/>
      <c r="C347" s="120"/>
      <c r="D347" s="136"/>
      <c r="E347" s="109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4"/>
      <c r="S347" s="180"/>
      <c r="T347" s="63"/>
    </row>
    <row r="348" spans="1:20" ht="15.75">
      <c r="A348" s="36"/>
      <c r="B348" s="108" t="s">
        <v>56</v>
      </c>
      <c r="C348" s="120"/>
      <c r="D348" s="136" t="s">
        <v>562</v>
      </c>
      <c r="E348" s="109" t="s">
        <v>367</v>
      </c>
      <c r="F348" s="113">
        <v>4.531</v>
      </c>
      <c r="G348" s="113">
        <v>10.541</v>
      </c>
      <c r="H348" s="113">
        <v>22.454</v>
      </c>
      <c r="I348" s="113">
        <v>29.672</v>
      </c>
      <c r="J348" s="113">
        <v>29.405</v>
      </c>
      <c r="K348" s="113">
        <v>21.235</v>
      </c>
      <c r="L348" s="113">
        <v>18.393</v>
      </c>
      <c r="M348" s="113">
        <v>7.334</v>
      </c>
      <c r="N348" s="113">
        <v>3.119</v>
      </c>
      <c r="O348" s="113">
        <v>1.598</v>
      </c>
      <c r="P348" s="113">
        <v>0.547</v>
      </c>
      <c r="Q348" s="113">
        <v>0.822</v>
      </c>
      <c r="R348" s="145">
        <f>SUM(F348:Q348)</f>
        <v>149.651</v>
      </c>
      <c r="S348" s="161">
        <f>R348/12</f>
        <v>12.470916666666668</v>
      </c>
      <c r="T348" s="145">
        <f>MAX(F348:Q348)</f>
        <v>29.672</v>
      </c>
    </row>
    <row r="349" spans="1:20" ht="15.75">
      <c r="A349" s="36"/>
      <c r="B349" s="108"/>
      <c r="C349" s="120"/>
      <c r="D349" s="136" t="s">
        <v>563</v>
      </c>
      <c r="E349" s="109"/>
      <c r="F349" s="113">
        <v>0.889</v>
      </c>
      <c r="G349" s="113">
        <v>6.809</v>
      </c>
      <c r="H349" s="113">
        <v>16.162</v>
      </c>
      <c r="I349" s="113">
        <v>29.339</v>
      </c>
      <c r="J349" s="113">
        <v>29.637</v>
      </c>
      <c r="K349" s="113">
        <v>28.674</v>
      </c>
      <c r="L349" s="113">
        <f aca="true" t="shared" si="85" ref="L349:Q349">40/6</f>
        <v>6.666666666666667</v>
      </c>
      <c r="M349" s="113">
        <f t="shared" si="85"/>
        <v>6.666666666666667</v>
      </c>
      <c r="N349" s="113">
        <f t="shared" si="85"/>
        <v>6.666666666666667</v>
      </c>
      <c r="O349" s="113">
        <f t="shared" si="85"/>
        <v>6.666666666666667</v>
      </c>
      <c r="P349" s="113">
        <f t="shared" si="85"/>
        <v>6.666666666666667</v>
      </c>
      <c r="Q349" s="113">
        <f t="shared" si="85"/>
        <v>6.666666666666667</v>
      </c>
      <c r="R349" s="149">
        <f>SUM(F349:Q349)</f>
        <v>151.50999999999996</v>
      </c>
      <c r="S349" s="173">
        <f>R349/12</f>
        <v>12.62583333333333</v>
      </c>
      <c r="T349" s="149">
        <f>MAX(F349:Q349)</f>
        <v>29.637</v>
      </c>
    </row>
    <row r="350" spans="1:20" ht="15.75">
      <c r="A350" s="36"/>
      <c r="B350" s="108"/>
      <c r="C350" s="120"/>
      <c r="D350" s="136" t="s">
        <v>685</v>
      </c>
      <c r="E350" s="109"/>
      <c r="F350" s="113">
        <f>F346*(1-0.021)</f>
        <v>5.82505</v>
      </c>
      <c r="G350" s="113">
        <f aca="true" t="shared" si="86" ref="G350:Q350">G346*(1-0.021)</f>
        <v>8.966416250000002</v>
      </c>
      <c r="H350" s="113">
        <f t="shared" si="86"/>
        <v>21.6359</v>
      </c>
      <c r="I350" s="113">
        <f t="shared" si="86"/>
        <v>29.9574</v>
      </c>
      <c r="J350" s="113">
        <f t="shared" si="86"/>
        <v>24.964500000000005</v>
      </c>
      <c r="K350" s="113">
        <f t="shared" si="86"/>
        <v>26.004687500000003</v>
      </c>
      <c r="L350" s="113">
        <f t="shared" si="86"/>
        <v>11.6501</v>
      </c>
      <c r="M350" s="113">
        <f t="shared" si="86"/>
        <v>6.4491625</v>
      </c>
      <c r="N350" s="113">
        <f t="shared" si="86"/>
        <v>3.2037775</v>
      </c>
      <c r="O350" s="113">
        <f t="shared" si="86"/>
        <v>1.6643000000000001</v>
      </c>
      <c r="P350" s="113">
        <f t="shared" si="86"/>
        <v>0.8321500000000001</v>
      </c>
      <c r="Q350" s="113">
        <f t="shared" si="86"/>
        <v>0.8321500000000001</v>
      </c>
      <c r="R350" s="149">
        <f>SUM(F350:Q350)+0.01</f>
        <v>141.99559375000004</v>
      </c>
      <c r="S350" s="173">
        <f>R350/12</f>
        <v>11.832966145833337</v>
      </c>
      <c r="T350" s="149">
        <f>MAX(F350:Q350)</f>
        <v>29.9574</v>
      </c>
    </row>
    <row r="351" spans="1:20" ht="15.75">
      <c r="A351" s="36"/>
      <c r="B351" s="108"/>
      <c r="C351" s="120"/>
      <c r="D351" s="136"/>
      <c r="E351" s="109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4"/>
      <c r="S351" s="180"/>
      <c r="T351" s="63"/>
    </row>
    <row r="352" spans="1:20" ht="15.75">
      <c r="A352" s="36">
        <v>21</v>
      </c>
      <c r="B352" s="108" t="s">
        <v>349</v>
      </c>
      <c r="D352" s="136"/>
      <c r="E352" s="109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4"/>
      <c r="S352" s="180"/>
      <c r="T352" s="63"/>
    </row>
    <row r="353" spans="1:20" ht="31.5">
      <c r="A353" s="36"/>
      <c r="B353" s="108" t="s">
        <v>27</v>
      </c>
      <c r="D353" s="136" t="s">
        <v>562</v>
      </c>
      <c r="E353" s="109" t="s">
        <v>367</v>
      </c>
      <c r="F353" s="113">
        <v>158.572</v>
      </c>
      <c r="G353" s="113">
        <v>314.572</v>
      </c>
      <c r="H353" s="113">
        <v>333.681</v>
      </c>
      <c r="I353" s="113">
        <v>305.989</v>
      </c>
      <c r="J353" s="113">
        <v>365.702</v>
      </c>
      <c r="K353" s="113">
        <v>300.733</v>
      </c>
      <c r="L353" s="113">
        <v>187.224</v>
      </c>
      <c r="M353" s="113">
        <v>0</v>
      </c>
      <c r="N353" s="113">
        <v>75.849</v>
      </c>
      <c r="O353" s="113">
        <v>55.726</v>
      </c>
      <c r="P353" s="113">
        <v>46.229</v>
      </c>
      <c r="Q353" s="113">
        <v>101.056</v>
      </c>
      <c r="R353" s="145">
        <f>SUM(F353:Q353)</f>
        <v>2245.3329999999996</v>
      </c>
      <c r="S353" s="161">
        <f>R353/12</f>
        <v>187.1110833333333</v>
      </c>
      <c r="T353" s="145">
        <f>MAX(F353:Q353)</f>
        <v>365.702</v>
      </c>
    </row>
    <row r="354" spans="1:20" ht="15.75">
      <c r="A354" s="36"/>
      <c r="B354" s="108"/>
      <c r="D354" s="136" t="s">
        <v>563</v>
      </c>
      <c r="E354" s="109"/>
      <c r="F354" s="113">
        <v>149.174</v>
      </c>
      <c r="G354" s="113">
        <v>289.6305</v>
      </c>
      <c r="H354" s="113">
        <v>307.534147</v>
      </c>
      <c r="I354" s="113">
        <v>305.052112</v>
      </c>
      <c r="J354" s="113">
        <v>308.652057</v>
      </c>
      <c r="K354" s="113">
        <v>309.488</v>
      </c>
      <c r="L354" s="113">
        <v>228.881</v>
      </c>
      <c r="M354" s="113">
        <v>140</v>
      </c>
      <c r="N354" s="113">
        <v>98.8</v>
      </c>
      <c r="O354" s="113">
        <v>80</v>
      </c>
      <c r="P354" s="113">
        <v>70</v>
      </c>
      <c r="Q354" s="113">
        <v>100</v>
      </c>
      <c r="R354" s="149">
        <f>SUM(F354:Q354)</f>
        <v>2387.2118160000005</v>
      </c>
      <c r="S354" s="173">
        <f>R354/12</f>
        <v>198.93431800000005</v>
      </c>
      <c r="T354" s="149">
        <f>MAX(F354:Q354)</f>
        <v>309.488</v>
      </c>
    </row>
    <row r="355" spans="1:20" ht="15.75">
      <c r="A355" s="36"/>
      <c r="B355" s="108"/>
      <c r="D355" s="136" t="s">
        <v>685</v>
      </c>
      <c r="E355" s="109"/>
      <c r="F355" s="113">
        <v>130</v>
      </c>
      <c r="G355" s="113">
        <v>230</v>
      </c>
      <c r="H355" s="113">
        <v>263.52</v>
      </c>
      <c r="I355" s="113">
        <v>315</v>
      </c>
      <c r="J355" s="113">
        <v>325</v>
      </c>
      <c r="K355" s="113">
        <v>295</v>
      </c>
      <c r="L355" s="113">
        <v>205</v>
      </c>
      <c r="M355" s="113">
        <v>128.8</v>
      </c>
      <c r="N355" s="113">
        <v>97</v>
      </c>
      <c r="O355" s="113">
        <v>80</v>
      </c>
      <c r="P355" s="113">
        <v>80</v>
      </c>
      <c r="Q355" s="113">
        <v>90</v>
      </c>
      <c r="R355" s="149">
        <f>SUM(F355:Q355)</f>
        <v>2239.3199999999997</v>
      </c>
      <c r="S355" s="173">
        <f>R355/12</f>
        <v>186.60999999999999</v>
      </c>
      <c r="T355" s="149">
        <f>MAX(F355:Q355)</f>
        <v>325</v>
      </c>
    </row>
    <row r="356" spans="1:20" ht="15.75">
      <c r="A356" s="36"/>
      <c r="B356" s="108"/>
      <c r="D356" s="136"/>
      <c r="E356" s="109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4"/>
      <c r="S356" s="180"/>
      <c r="T356" s="63"/>
    </row>
    <row r="357" spans="1:20" ht="15.75">
      <c r="A357" s="36"/>
      <c r="B357" s="108" t="s">
        <v>22</v>
      </c>
      <c r="D357" s="136" t="s">
        <v>561</v>
      </c>
      <c r="E357" s="109" t="s">
        <v>372</v>
      </c>
      <c r="F357" s="113">
        <v>23.4</v>
      </c>
      <c r="G357" s="113">
        <v>23.4</v>
      </c>
      <c r="H357" s="113">
        <v>23.4</v>
      </c>
      <c r="I357" s="113">
        <v>23.4</v>
      </c>
      <c r="J357" s="113">
        <v>23.4</v>
      </c>
      <c r="K357" s="113">
        <v>23.4</v>
      </c>
      <c r="L357" s="113">
        <v>23.4</v>
      </c>
      <c r="M357" s="113">
        <v>23.4</v>
      </c>
      <c r="N357" s="113">
        <v>23.4</v>
      </c>
      <c r="O357" s="113">
        <v>23.4</v>
      </c>
      <c r="P357" s="113">
        <v>23.4</v>
      </c>
      <c r="Q357" s="113">
        <v>23.4</v>
      </c>
      <c r="R357" s="114"/>
      <c r="S357" s="180"/>
      <c r="T357" s="63"/>
    </row>
    <row r="358" spans="1:20" ht="15.75">
      <c r="A358" s="36"/>
      <c r="B358" s="108"/>
      <c r="D358" s="136" t="s">
        <v>562</v>
      </c>
      <c r="E358" s="109"/>
      <c r="F358" s="113">
        <v>23.4</v>
      </c>
      <c r="G358" s="113">
        <v>23.4</v>
      </c>
      <c r="H358" s="113">
        <v>23.4</v>
      </c>
      <c r="I358" s="113">
        <v>23.4</v>
      </c>
      <c r="J358" s="113">
        <v>23.4</v>
      </c>
      <c r="K358" s="113">
        <v>23.4</v>
      </c>
      <c r="L358" s="113">
        <v>23.4</v>
      </c>
      <c r="M358" s="113">
        <v>23.4</v>
      </c>
      <c r="N358" s="113">
        <v>23.4</v>
      </c>
      <c r="O358" s="113">
        <v>23.4</v>
      </c>
      <c r="P358" s="113">
        <v>23.4</v>
      </c>
      <c r="Q358" s="113">
        <v>23.4</v>
      </c>
      <c r="R358" s="114"/>
      <c r="S358" s="180"/>
      <c r="T358" s="63"/>
    </row>
    <row r="359" spans="1:20" ht="15.75">
      <c r="A359" s="36"/>
      <c r="B359" s="108"/>
      <c r="D359" s="136" t="s">
        <v>563</v>
      </c>
      <c r="E359" s="109"/>
      <c r="F359" s="113">
        <v>23.4</v>
      </c>
      <c r="G359" s="113">
        <v>23.4</v>
      </c>
      <c r="H359" s="113">
        <v>23.4</v>
      </c>
      <c r="I359" s="113">
        <v>23.4</v>
      </c>
      <c r="J359" s="113">
        <v>23.4</v>
      </c>
      <c r="K359" s="113">
        <v>23.4</v>
      </c>
      <c r="L359" s="113">
        <v>23.4</v>
      </c>
      <c r="M359" s="113">
        <v>23.4</v>
      </c>
      <c r="N359" s="113">
        <v>23.4</v>
      </c>
      <c r="O359" s="113">
        <v>23.4</v>
      </c>
      <c r="P359" s="113">
        <v>23.4</v>
      </c>
      <c r="Q359" s="113">
        <v>23.4</v>
      </c>
      <c r="R359" s="114"/>
      <c r="S359" s="180"/>
      <c r="T359" s="63"/>
    </row>
    <row r="360" spans="1:20" ht="15.75">
      <c r="A360" s="36"/>
      <c r="B360" s="108"/>
      <c r="D360" s="136"/>
      <c r="E360" s="109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4"/>
      <c r="S360" s="180"/>
      <c r="T360" s="63"/>
    </row>
    <row r="361" spans="1:20" ht="15.75">
      <c r="A361" s="36"/>
      <c r="B361" s="108" t="s">
        <v>22</v>
      </c>
      <c r="C361" s="120"/>
      <c r="D361" s="136" t="s">
        <v>562</v>
      </c>
      <c r="E361" s="109" t="s">
        <v>367</v>
      </c>
      <c r="F361" s="113">
        <f>F353*(F357%)</f>
        <v>37.105848</v>
      </c>
      <c r="G361" s="113">
        <f aca="true" t="shared" si="87" ref="G361:Q361">G353*(G357%)</f>
        <v>73.609848</v>
      </c>
      <c r="H361" s="113">
        <f t="shared" si="87"/>
        <v>78.08135399999999</v>
      </c>
      <c r="I361" s="113">
        <f t="shared" si="87"/>
        <v>71.60142599999999</v>
      </c>
      <c r="J361" s="113">
        <f t="shared" si="87"/>
        <v>85.57426799999999</v>
      </c>
      <c r="K361" s="113">
        <f t="shared" si="87"/>
        <v>70.371522</v>
      </c>
      <c r="L361" s="113">
        <f t="shared" si="87"/>
        <v>43.810416</v>
      </c>
      <c r="M361" s="113">
        <f t="shared" si="87"/>
        <v>0</v>
      </c>
      <c r="N361" s="113">
        <f t="shared" si="87"/>
        <v>17.748666</v>
      </c>
      <c r="O361" s="113">
        <f t="shared" si="87"/>
        <v>13.039883999999999</v>
      </c>
      <c r="P361" s="113">
        <f t="shared" si="87"/>
        <v>10.817585999999999</v>
      </c>
      <c r="Q361" s="113">
        <f t="shared" si="87"/>
        <v>23.647104</v>
      </c>
      <c r="R361" s="145">
        <f>SUM(F361:Q361)</f>
        <v>525.407922</v>
      </c>
      <c r="S361" s="161">
        <f>R361/12</f>
        <v>43.7839935</v>
      </c>
      <c r="T361" s="145">
        <f>MAX(F361:Q361)</f>
        <v>85.57426799999999</v>
      </c>
    </row>
    <row r="362" spans="1:20" ht="15.75">
      <c r="A362" s="36"/>
      <c r="B362" s="108"/>
      <c r="C362" s="120"/>
      <c r="D362" s="136" t="s">
        <v>563</v>
      </c>
      <c r="E362" s="109"/>
      <c r="F362" s="113">
        <f>F354*(F358%)</f>
        <v>34.906716</v>
      </c>
      <c r="G362" s="113">
        <f aca="true" t="shared" si="88" ref="G362:Q362">G354*(G358%)</f>
        <v>67.77353699999999</v>
      </c>
      <c r="H362" s="113">
        <f t="shared" si="88"/>
        <v>71.962990398</v>
      </c>
      <c r="I362" s="113">
        <f t="shared" si="88"/>
        <v>71.382194208</v>
      </c>
      <c r="J362" s="113">
        <f t="shared" si="88"/>
        <v>72.224581338</v>
      </c>
      <c r="K362" s="113">
        <f t="shared" si="88"/>
        <v>72.420192</v>
      </c>
      <c r="L362" s="113">
        <f t="shared" si="88"/>
        <v>53.558153999999995</v>
      </c>
      <c r="M362" s="113">
        <f t="shared" si="88"/>
        <v>32.76</v>
      </c>
      <c r="N362" s="113">
        <f t="shared" si="88"/>
        <v>23.1192</v>
      </c>
      <c r="O362" s="113">
        <f t="shared" si="88"/>
        <v>18.72</v>
      </c>
      <c r="P362" s="113">
        <f t="shared" si="88"/>
        <v>16.38</v>
      </c>
      <c r="Q362" s="113">
        <f t="shared" si="88"/>
        <v>23.4</v>
      </c>
      <c r="R362" s="149">
        <f>SUM(F362:Q362)</f>
        <v>558.6075649439999</v>
      </c>
      <c r="S362" s="173">
        <f>R362/12</f>
        <v>46.550630412</v>
      </c>
      <c r="T362" s="149">
        <f>MAX(F362:Q362)</f>
        <v>72.420192</v>
      </c>
    </row>
    <row r="363" spans="1:20" ht="15.75">
      <c r="A363" s="36"/>
      <c r="B363" s="108"/>
      <c r="C363" s="120"/>
      <c r="D363" s="136" t="s">
        <v>685</v>
      </c>
      <c r="E363" s="109"/>
      <c r="F363" s="113">
        <f>F355*(F359%)</f>
        <v>30.419999999999998</v>
      </c>
      <c r="G363" s="113">
        <f aca="true" t="shared" si="89" ref="G363:Q363">G355*(G359%)</f>
        <v>53.81999999999999</v>
      </c>
      <c r="H363" s="113">
        <f t="shared" si="89"/>
        <v>61.66367999999999</v>
      </c>
      <c r="I363" s="113">
        <f t="shared" si="89"/>
        <v>73.71</v>
      </c>
      <c r="J363" s="113">
        <f t="shared" si="89"/>
        <v>76.05</v>
      </c>
      <c r="K363" s="113">
        <f t="shared" si="89"/>
        <v>69.03</v>
      </c>
      <c r="L363" s="113">
        <f t="shared" si="89"/>
        <v>47.97</v>
      </c>
      <c r="M363" s="113">
        <f t="shared" si="89"/>
        <v>30.139200000000002</v>
      </c>
      <c r="N363" s="113">
        <f t="shared" si="89"/>
        <v>22.698</v>
      </c>
      <c r="O363" s="113">
        <f t="shared" si="89"/>
        <v>18.72</v>
      </c>
      <c r="P363" s="113">
        <f t="shared" si="89"/>
        <v>18.72</v>
      </c>
      <c r="Q363" s="113">
        <f t="shared" si="89"/>
        <v>21.06</v>
      </c>
      <c r="R363" s="149">
        <f>SUM(F363:Q363)</f>
        <v>524.0008799999999</v>
      </c>
      <c r="S363" s="173">
        <f>R363/12</f>
        <v>43.66674</v>
      </c>
      <c r="T363" s="149">
        <f>MAX(F363:Q363)</f>
        <v>76.05</v>
      </c>
    </row>
    <row r="364" spans="1:20" ht="15.75">
      <c r="A364" s="36"/>
      <c r="B364" s="108"/>
      <c r="C364" s="120"/>
      <c r="D364" s="136"/>
      <c r="E364" s="109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4"/>
      <c r="S364" s="180"/>
      <c r="T364" s="63"/>
    </row>
    <row r="365" spans="1:20" ht="15.75">
      <c r="A365" s="36"/>
      <c r="B365" s="108" t="s">
        <v>56</v>
      </c>
      <c r="C365" s="120"/>
      <c r="D365" s="136" t="s">
        <v>562</v>
      </c>
      <c r="E365" s="109" t="s">
        <v>367</v>
      </c>
      <c r="F365" s="113">
        <v>31.793</v>
      </c>
      <c r="G365" s="113">
        <v>62.877</v>
      </c>
      <c r="H365" s="113">
        <v>66.729</v>
      </c>
      <c r="I365" s="113">
        <v>61.271</v>
      </c>
      <c r="J365" s="113">
        <v>73.112</v>
      </c>
      <c r="K365" s="113">
        <v>60.348</v>
      </c>
      <c r="L365" s="113">
        <v>45.934</v>
      </c>
      <c r="M365" s="113">
        <v>24.271</v>
      </c>
      <c r="N365" s="113">
        <v>10.113</v>
      </c>
      <c r="O365" s="113">
        <v>0.804</v>
      </c>
      <c r="P365" s="113">
        <v>0</v>
      </c>
      <c r="Q365" s="113">
        <v>18.06</v>
      </c>
      <c r="R365" s="145">
        <f>SUM(F365:Q365)</f>
        <v>455.31200000000007</v>
      </c>
      <c r="S365" s="161">
        <f>R365/12</f>
        <v>37.942666666666675</v>
      </c>
      <c r="T365" s="145">
        <f>MAX(F365:Q365)</f>
        <v>73.112</v>
      </c>
    </row>
    <row r="366" spans="1:20" ht="15.75">
      <c r="A366" s="36"/>
      <c r="B366" s="108"/>
      <c r="C366" s="120"/>
      <c r="D366" s="136" t="s">
        <v>563</v>
      </c>
      <c r="E366" s="109"/>
      <c r="F366" s="113">
        <v>29.99</v>
      </c>
      <c r="G366" s="113">
        <v>58.216</v>
      </c>
      <c r="H366" s="113">
        <v>65.68</v>
      </c>
      <c r="I366" s="113">
        <v>70.708</v>
      </c>
      <c r="J366" s="113">
        <v>71.476</v>
      </c>
      <c r="K366" s="113">
        <v>71.552</v>
      </c>
      <c r="L366" s="113">
        <f aca="true" t="shared" si="90" ref="L366:Q366">200/6</f>
        <v>33.333333333333336</v>
      </c>
      <c r="M366" s="113">
        <f t="shared" si="90"/>
        <v>33.333333333333336</v>
      </c>
      <c r="N366" s="113">
        <f t="shared" si="90"/>
        <v>33.333333333333336</v>
      </c>
      <c r="O366" s="113">
        <f t="shared" si="90"/>
        <v>33.333333333333336</v>
      </c>
      <c r="P366" s="113">
        <f t="shared" si="90"/>
        <v>33.333333333333336</v>
      </c>
      <c r="Q366" s="113">
        <f t="shared" si="90"/>
        <v>33.333333333333336</v>
      </c>
      <c r="R366" s="149">
        <f>SUM(F366:Q366)</f>
        <v>567.6220000000001</v>
      </c>
      <c r="S366" s="173">
        <f>R366/12</f>
        <v>47.30183333333334</v>
      </c>
      <c r="T366" s="149">
        <f>MAX(F366:Q366)</f>
        <v>71.552</v>
      </c>
    </row>
    <row r="367" spans="1:20" ht="15.75">
      <c r="A367" s="36"/>
      <c r="B367" s="108"/>
      <c r="C367" s="120"/>
      <c r="D367" s="136" t="s">
        <v>685</v>
      </c>
      <c r="E367" s="109"/>
      <c r="F367" s="113">
        <f>F363*(1-0.021)</f>
        <v>29.78118</v>
      </c>
      <c r="G367" s="113">
        <f aca="true" t="shared" si="91" ref="G367:Q367">G363*(1-0.021)</f>
        <v>52.68977999999999</v>
      </c>
      <c r="H367" s="113">
        <f t="shared" si="91"/>
        <v>60.36874271999999</v>
      </c>
      <c r="I367" s="113">
        <f t="shared" si="91"/>
        <v>72.16208999999999</v>
      </c>
      <c r="J367" s="113">
        <f t="shared" si="91"/>
        <v>74.45295</v>
      </c>
      <c r="K367" s="113">
        <f t="shared" si="91"/>
        <v>67.58037</v>
      </c>
      <c r="L367" s="113">
        <f t="shared" si="91"/>
        <v>46.96263</v>
      </c>
      <c r="M367" s="113">
        <f t="shared" si="91"/>
        <v>29.506276800000002</v>
      </c>
      <c r="N367" s="113">
        <f t="shared" si="91"/>
        <v>22.221342</v>
      </c>
      <c r="O367" s="113">
        <f t="shared" si="91"/>
        <v>18.32688</v>
      </c>
      <c r="P367" s="113">
        <f>P363*(1-0.021)</f>
        <v>18.32688</v>
      </c>
      <c r="Q367" s="113">
        <f t="shared" si="91"/>
        <v>20.617739999999998</v>
      </c>
      <c r="R367" s="149">
        <f>SUM(F367:Q367)</f>
        <v>512.99686152</v>
      </c>
      <c r="S367" s="173">
        <f>R367/12</f>
        <v>42.74973846</v>
      </c>
      <c r="T367" s="149">
        <f>MAX(F367:Q367)</f>
        <v>74.45295</v>
      </c>
    </row>
    <row r="368" spans="1:20" ht="15.75">
      <c r="A368" s="36"/>
      <c r="B368" s="108"/>
      <c r="C368" s="120"/>
      <c r="D368" s="136"/>
      <c r="E368" s="109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  <c r="R368" s="114"/>
      <c r="S368" s="180"/>
      <c r="T368" s="63"/>
    </row>
    <row r="369" spans="1:20" ht="31.5">
      <c r="A369" s="36"/>
      <c r="B369" s="108" t="s">
        <v>350</v>
      </c>
      <c r="C369" s="120"/>
      <c r="D369" s="136"/>
      <c r="E369" s="109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  <c r="R369" s="114"/>
      <c r="S369" s="180"/>
      <c r="T369" s="63"/>
    </row>
    <row r="370" spans="1:20" ht="15.75">
      <c r="A370" s="36"/>
      <c r="B370" s="108" t="s">
        <v>428</v>
      </c>
      <c r="D370" s="136" t="s">
        <v>562</v>
      </c>
      <c r="E370" s="109" t="s">
        <v>367</v>
      </c>
      <c r="F370" s="113">
        <f>F353+F336+F319</f>
        <v>345.47600000000006</v>
      </c>
      <c r="G370" s="113">
        <f aca="true" t="shared" si="92" ref="G370:Q370">G353+G336+G319</f>
        <v>716.9460000000001</v>
      </c>
      <c r="H370" s="113">
        <f t="shared" si="92"/>
        <v>1128.813</v>
      </c>
      <c r="I370" s="113">
        <f t="shared" si="92"/>
        <v>1284.788</v>
      </c>
      <c r="J370" s="113">
        <f t="shared" si="92"/>
        <v>1365.858</v>
      </c>
      <c r="K370" s="113">
        <f t="shared" si="92"/>
        <v>1080.1424459999998</v>
      </c>
      <c r="L370" s="113">
        <f t="shared" si="92"/>
        <v>752.857035</v>
      </c>
      <c r="M370" s="113">
        <f t="shared" si="92"/>
        <v>298.12085</v>
      </c>
      <c r="N370" s="113">
        <f t="shared" si="92"/>
        <v>115.09700000000001</v>
      </c>
      <c r="O370" s="113">
        <f t="shared" si="92"/>
        <v>135.45542799999998</v>
      </c>
      <c r="P370" s="113">
        <f t="shared" si="92"/>
        <v>78.441104</v>
      </c>
      <c r="Q370" s="113">
        <f t="shared" si="92"/>
        <v>151.634114</v>
      </c>
      <c r="R370" s="145">
        <f>SUM(F370:Q370)</f>
        <v>7453.628977</v>
      </c>
      <c r="S370" s="161">
        <f>R370/12</f>
        <v>621.1357480833334</v>
      </c>
      <c r="T370" s="145">
        <f>MAX(F370:Q370)</f>
        <v>1365.858</v>
      </c>
    </row>
    <row r="371" spans="1:20" ht="15.75">
      <c r="A371" s="36"/>
      <c r="B371" s="108"/>
      <c r="D371" s="136" t="s">
        <v>563</v>
      </c>
      <c r="E371" s="109"/>
      <c r="F371" s="113">
        <f aca="true" t="shared" si="93" ref="F371:Q372">F354+F337+F320</f>
        <v>212.051712</v>
      </c>
      <c r="G371" s="113">
        <f t="shared" si="93"/>
        <v>556.785223</v>
      </c>
      <c r="H371" s="113">
        <f t="shared" si="93"/>
        <v>895.2337710000002</v>
      </c>
      <c r="I371" s="113">
        <f t="shared" si="93"/>
        <v>1293.281391</v>
      </c>
      <c r="J371" s="113">
        <f t="shared" si="93"/>
        <v>1304.713175</v>
      </c>
      <c r="K371" s="113">
        <f t="shared" si="93"/>
        <v>1098.008446</v>
      </c>
      <c r="L371" s="113">
        <f t="shared" si="93"/>
        <v>868.881</v>
      </c>
      <c r="M371" s="113">
        <f t="shared" si="93"/>
        <v>270</v>
      </c>
      <c r="N371" s="113">
        <f t="shared" si="93"/>
        <v>183.8</v>
      </c>
      <c r="O371" s="113">
        <f t="shared" si="93"/>
        <v>152</v>
      </c>
      <c r="P371" s="113">
        <f t="shared" si="93"/>
        <v>128</v>
      </c>
      <c r="Q371" s="113">
        <f t="shared" si="93"/>
        <v>170</v>
      </c>
      <c r="R371" s="149">
        <f>SUM(F371:Q371)</f>
        <v>7132.754718</v>
      </c>
      <c r="S371" s="173">
        <f>R371/12</f>
        <v>594.3962265</v>
      </c>
      <c r="T371" s="149">
        <f>MAX(F371:Q371)</f>
        <v>1304.713175</v>
      </c>
    </row>
    <row r="372" spans="1:20" ht="15.75">
      <c r="A372" s="36"/>
      <c r="B372" s="108"/>
      <c r="D372" s="136" t="s">
        <v>685</v>
      </c>
      <c r="E372" s="109"/>
      <c r="F372" s="113">
        <f t="shared" si="93"/>
        <v>325.6</v>
      </c>
      <c r="G372" s="113">
        <f t="shared" si="93"/>
        <v>575.5</v>
      </c>
      <c r="H372" s="113">
        <f t="shared" si="93"/>
        <v>943.52</v>
      </c>
      <c r="I372" s="113">
        <f t="shared" si="93"/>
        <v>1305</v>
      </c>
      <c r="J372" s="113">
        <f t="shared" si="93"/>
        <v>1205</v>
      </c>
      <c r="K372" s="113">
        <f t="shared" si="93"/>
        <v>1175.5</v>
      </c>
      <c r="L372" s="113">
        <f t="shared" si="93"/>
        <v>725</v>
      </c>
      <c r="M372" s="113">
        <f t="shared" si="93"/>
        <v>418.8</v>
      </c>
      <c r="N372" s="113">
        <f t="shared" si="93"/>
        <v>254</v>
      </c>
      <c r="O372" s="113">
        <f t="shared" si="93"/>
        <v>165.7</v>
      </c>
      <c r="P372" s="113">
        <f t="shared" si="93"/>
        <v>153</v>
      </c>
      <c r="Q372" s="113">
        <f t="shared" si="93"/>
        <v>174</v>
      </c>
      <c r="R372" s="149">
        <f>SUM(F372:Q372)</f>
        <v>7420.62</v>
      </c>
      <c r="S372" s="173">
        <f>R372/12</f>
        <v>618.385</v>
      </c>
      <c r="T372" s="149">
        <f>MAX(F372:Q372)</f>
        <v>1305</v>
      </c>
    </row>
    <row r="373" spans="1:20" ht="15.75">
      <c r="A373" s="36"/>
      <c r="B373" s="108"/>
      <c r="D373" s="136"/>
      <c r="E373" s="109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  <c r="R373" s="114"/>
      <c r="S373" s="180"/>
      <c r="T373" s="63"/>
    </row>
    <row r="374" spans="1:20" ht="15.75">
      <c r="A374" s="36"/>
      <c r="B374" s="108" t="s">
        <v>347</v>
      </c>
      <c r="D374" s="136" t="s">
        <v>562</v>
      </c>
      <c r="E374" s="109" t="s">
        <v>367</v>
      </c>
      <c r="F374" s="114">
        <f>F365+F348+F331</f>
        <v>47.724999999999994</v>
      </c>
      <c r="G374" s="114">
        <f aca="true" t="shared" si="94" ref="G374:Q374">G365+G348+G331</f>
        <v>95.15200000000002</v>
      </c>
      <c r="H374" s="114">
        <f t="shared" si="94"/>
        <v>126.353</v>
      </c>
      <c r="I374" s="114">
        <f t="shared" si="94"/>
        <v>129.541</v>
      </c>
      <c r="J374" s="114">
        <f t="shared" si="94"/>
        <v>145.029</v>
      </c>
      <c r="K374" s="114">
        <f t="shared" si="94"/>
        <v>121.086</v>
      </c>
      <c r="L374" s="114">
        <f t="shared" si="94"/>
        <v>100.22800000000001</v>
      </c>
      <c r="M374" s="114">
        <f t="shared" si="94"/>
        <v>49.507999999999996</v>
      </c>
      <c r="N374" s="114">
        <f t="shared" si="94"/>
        <v>23.112000000000002</v>
      </c>
      <c r="O374" s="114">
        <f t="shared" si="94"/>
        <v>8.405999999999999</v>
      </c>
      <c r="P374" s="114">
        <f t="shared" si="94"/>
        <v>3.339</v>
      </c>
      <c r="Q374" s="114">
        <f t="shared" si="94"/>
        <v>23.424999999999997</v>
      </c>
      <c r="R374" s="145">
        <f>SUM(F374:Q374)</f>
        <v>872.904</v>
      </c>
      <c r="S374" s="161">
        <f>R374/12</f>
        <v>72.742</v>
      </c>
      <c r="T374" s="145">
        <f>MAX(F374:Q374)</f>
        <v>145.029</v>
      </c>
    </row>
    <row r="375" spans="1:20" ht="15.75">
      <c r="A375" s="36"/>
      <c r="B375" s="108"/>
      <c r="D375" s="136" t="s">
        <v>563</v>
      </c>
      <c r="E375" s="109"/>
      <c r="F375" s="114">
        <f aca="true" t="shared" si="95" ref="F375:Q376">F366+F349+F332</f>
        <v>37.025999999999996</v>
      </c>
      <c r="G375" s="114">
        <f t="shared" si="95"/>
        <v>80.30300000000001</v>
      </c>
      <c r="H375" s="114">
        <f t="shared" si="95"/>
        <v>111.17200000000001</v>
      </c>
      <c r="I375" s="114">
        <f t="shared" si="95"/>
        <v>141.546</v>
      </c>
      <c r="J375" s="114">
        <f t="shared" si="95"/>
        <v>142.571</v>
      </c>
      <c r="K375" s="114">
        <f t="shared" si="95"/>
        <v>140.45499999999998</v>
      </c>
      <c r="L375" s="114">
        <f t="shared" si="95"/>
        <v>56.66666666666667</v>
      </c>
      <c r="M375" s="114">
        <f t="shared" si="95"/>
        <v>56.66666666666667</v>
      </c>
      <c r="N375" s="114">
        <f t="shared" si="95"/>
        <v>56.66666666666667</v>
      </c>
      <c r="O375" s="114">
        <f t="shared" si="95"/>
        <v>56.66666666666667</v>
      </c>
      <c r="P375" s="114">
        <f t="shared" si="95"/>
        <v>56.66666666666667</v>
      </c>
      <c r="Q375" s="114">
        <f t="shared" si="95"/>
        <v>56.66666666666667</v>
      </c>
      <c r="R375" s="149">
        <f>SUM(F375:Q375)</f>
        <v>993.0729999999999</v>
      </c>
      <c r="S375" s="173">
        <f>R375/12</f>
        <v>82.75608333333332</v>
      </c>
      <c r="T375" s="149">
        <f>MAX(F375:Q375)</f>
        <v>142.571</v>
      </c>
    </row>
    <row r="376" spans="1:20" ht="15.75">
      <c r="A376" s="36"/>
      <c r="B376" s="108"/>
      <c r="D376" s="136" t="s">
        <v>685</v>
      </c>
      <c r="E376" s="109"/>
      <c r="F376" s="114">
        <f t="shared" si="95"/>
        <v>43.874511559999995</v>
      </c>
      <c r="G376" s="114">
        <f t="shared" si="95"/>
        <v>80.98850924999999</v>
      </c>
      <c r="H376" s="114">
        <f t="shared" si="95"/>
        <v>105.79825871999999</v>
      </c>
      <c r="I376" s="114">
        <f t="shared" si="95"/>
        <v>142.27121699999998</v>
      </c>
      <c r="J376" s="114">
        <f t="shared" si="95"/>
        <v>141.05627800000002</v>
      </c>
      <c r="K376" s="114">
        <f t="shared" si="95"/>
        <v>131.58048805</v>
      </c>
      <c r="L376" s="114">
        <f t="shared" si="95"/>
        <v>94.303154</v>
      </c>
      <c r="M376" s="114">
        <f t="shared" si="95"/>
        <v>56.031302800000006</v>
      </c>
      <c r="N376" s="114">
        <f t="shared" si="95"/>
        <v>37.3219275</v>
      </c>
      <c r="O376" s="114">
        <f t="shared" si="95"/>
        <v>26.78723157</v>
      </c>
      <c r="P376" s="114">
        <f t="shared" si="95"/>
        <v>27.0406653</v>
      </c>
      <c r="Q376" s="114">
        <f t="shared" si="95"/>
        <v>30.967336399999997</v>
      </c>
      <c r="R376" s="149">
        <f>SUM(F376:Q376)</f>
        <v>918.02088015</v>
      </c>
      <c r="S376" s="173">
        <f>R376/12</f>
        <v>76.50174001250001</v>
      </c>
      <c r="T376" s="149">
        <f>MAX(F376:Q376)</f>
        <v>142.27121699999998</v>
      </c>
    </row>
    <row r="377" spans="1:20" ht="15.75">
      <c r="A377" s="36"/>
      <c r="B377" s="108"/>
      <c r="D377" s="136"/>
      <c r="E377" s="109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  <c r="Q377" s="113"/>
      <c r="R377" s="114"/>
      <c r="S377" s="180"/>
      <c r="T377" s="63"/>
    </row>
    <row r="378" spans="1:20" ht="31.5">
      <c r="A378" s="36"/>
      <c r="B378" s="108" t="s">
        <v>351</v>
      </c>
      <c r="C378" s="120"/>
      <c r="D378" s="136"/>
      <c r="E378" s="109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  <c r="P378" s="113"/>
      <c r="Q378" s="113"/>
      <c r="R378" s="114"/>
      <c r="S378" s="180"/>
      <c r="T378" s="63"/>
    </row>
    <row r="379" spans="1:20" ht="15.75">
      <c r="A379" s="36"/>
      <c r="B379" s="108" t="s">
        <v>428</v>
      </c>
      <c r="D379" s="136" t="s">
        <v>562</v>
      </c>
      <c r="E379" s="109" t="s">
        <v>367</v>
      </c>
      <c r="F379" s="113">
        <f>F370+F310</f>
        <v>3411.1795140000004</v>
      </c>
      <c r="G379" s="113">
        <f aca="true" t="shared" si="96" ref="G379:Q379">G370+G310</f>
        <v>4282.109392</v>
      </c>
      <c r="H379" s="113">
        <f t="shared" si="96"/>
        <v>4987.500398</v>
      </c>
      <c r="I379" s="113">
        <f t="shared" si="96"/>
        <v>5254.869355000001</v>
      </c>
      <c r="J379" s="113">
        <f t="shared" si="96"/>
        <v>5069.3471309999995</v>
      </c>
      <c r="K379" s="113">
        <f t="shared" si="96"/>
        <v>4709.849074</v>
      </c>
      <c r="L379" s="113">
        <f t="shared" si="96"/>
        <v>4311.721347</v>
      </c>
      <c r="M379" s="113">
        <f t="shared" si="96"/>
        <v>4394.150583</v>
      </c>
      <c r="N379" s="113">
        <f t="shared" si="96"/>
        <v>4610.969518999999</v>
      </c>
      <c r="O379" s="113">
        <f t="shared" si="96"/>
        <v>4744.920764</v>
      </c>
      <c r="P379" s="113">
        <f t="shared" si="96"/>
        <v>4051.3537569999994</v>
      </c>
      <c r="Q379" s="113">
        <f t="shared" si="96"/>
        <v>4633.896128</v>
      </c>
      <c r="R379" s="145">
        <f>SUM(F379:Q379)</f>
        <v>54461.866962</v>
      </c>
      <c r="S379" s="161">
        <f>R379/12</f>
        <v>4538.4889135</v>
      </c>
      <c r="T379" s="145">
        <f>MAX(F379:Q379)</f>
        <v>5254.869355000001</v>
      </c>
    </row>
    <row r="380" spans="1:20" ht="15.75">
      <c r="A380" s="36"/>
      <c r="B380" s="108"/>
      <c r="D380" s="136" t="s">
        <v>563</v>
      </c>
      <c r="E380" s="109"/>
      <c r="F380" s="113">
        <f aca="true" t="shared" si="97" ref="F380:Q381">F371+F311</f>
        <v>4131.330603</v>
      </c>
      <c r="G380" s="113">
        <f t="shared" si="97"/>
        <v>4840.016803099999</v>
      </c>
      <c r="H380" s="113">
        <f t="shared" si="97"/>
        <v>4599.0935070000005</v>
      </c>
      <c r="I380" s="113">
        <f t="shared" si="97"/>
        <v>4913.9687300000005</v>
      </c>
      <c r="J380" s="113">
        <f t="shared" si="97"/>
        <v>4914.133637000001</v>
      </c>
      <c r="K380" s="113">
        <f t="shared" si="97"/>
        <v>4674.91859</v>
      </c>
      <c r="L380" s="113">
        <f t="shared" si="97"/>
        <v>5168.325500000001</v>
      </c>
      <c r="M380" s="113">
        <f t="shared" si="97"/>
        <v>4569.4445000000005</v>
      </c>
      <c r="N380" s="113">
        <f t="shared" si="97"/>
        <v>4483.244500000001</v>
      </c>
      <c r="O380" s="113">
        <f t="shared" si="97"/>
        <v>4451.4445000000005</v>
      </c>
      <c r="P380" s="113">
        <f t="shared" si="97"/>
        <v>4427.4445000000005</v>
      </c>
      <c r="Q380" s="113">
        <f t="shared" si="97"/>
        <v>4469.4445000000005</v>
      </c>
      <c r="R380" s="149">
        <f>SUM(F380:Q380)</f>
        <v>55642.80987009999</v>
      </c>
      <c r="S380" s="173">
        <f>R380/12</f>
        <v>4636.900822508333</v>
      </c>
      <c r="T380" s="149">
        <f>MAX(F380:Q380)</f>
        <v>5168.325500000001</v>
      </c>
    </row>
    <row r="381" spans="1:20" ht="15.75">
      <c r="A381" s="36"/>
      <c r="B381" s="108"/>
      <c r="D381" s="136" t="s">
        <v>685</v>
      </c>
      <c r="E381" s="109"/>
      <c r="F381" s="113">
        <f t="shared" si="97"/>
        <v>5211.48822975</v>
      </c>
      <c r="G381" s="113">
        <f t="shared" si="97"/>
        <v>5461.3882297499995</v>
      </c>
      <c r="H381" s="113">
        <f t="shared" si="97"/>
        <v>5829.408229749999</v>
      </c>
      <c r="I381" s="113">
        <f t="shared" si="97"/>
        <v>6190.8882297499995</v>
      </c>
      <c r="J381" s="113">
        <f t="shared" si="97"/>
        <v>6090.8882297499995</v>
      </c>
      <c r="K381" s="113">
        <f t="shared" si="97"/>
        <v>6061.3882297499995</v>
      </c>
      <c r="L381" s="113">
        <f t="shared" si="97"/>
        <v>5610.8882297499995</v>
      </c>
      <c r="M381" s="113">
        <f t="shared" si="97"/>
        <v>5304.68822975</v>
      </c>
      <c r="N381" s="113">
        <f t="shared" si="97"/>
        <v>5139.8882297499995</v>
      </c>
      <c r="O381" s="113">
        <f t="shared" si="97"/>
        <v>5051.588229749999</v>
      </c>
      <c r="P381" s="113">
        <f t="shared" si="97"/>
        <v>5038.8882297499995</v>
      </c>
      <c r="Q381" s="113">
        <f t="shared" si="97"/>
        <v>5059.8882297499995</v>
      </c>
      <c r="R381" s="149">
        <f>SUM(F381:Q381)</f>
        <v>66051.278757</v>
      </c>
      <c r="S381" s="173">
        <f>R381/12</f>
        <v>5504.27322975</v>
      </c>
      <c r="T381" s="149">
        <f>MAX(F381:Q381)</f>
        <v>6190.8882297499995</v>
      </c>
    </row>
    <row r="382" spans="1:20" ht="15.75">
      <c r="A382" s="36"/>
      <c r="B382" s="108"/>
      <c r="D382" s="136"/>
      <c r="E382" s="109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  <c r="R382" s="114"/>
      <c r="S382" s="180"/>
      <c r="T382" s="63"/>
    </row>
    <row r="383" spans="1:20" ht="15.75">
      <c r="A383" s="36"/>
      <c r="B383" s="108" t="s">
        <v>347</v>
      </c>
      <c r="D383" s="136" t="s">
        <v>562</v>
      </c>
      <c r="E383" s="109" t="s">
        <v>367</v>
      </c>
      <c r="F383" s="114">
        <f>F374+F314</f>
        <v>489.22799999999995</v>
      </c>
      <c r="G383" s="114">
        <f aca="true" t="shared" si="98" ref="G383:Q383">G374+G314</f>
        <v>656.4960000000001</v>
      </c>
      <c r="H383" s="114">
        <f t="shared" si="98"/>
        <v>736.324</v>
      </c>
      <c r="I383" s="114">
        <f t="shared" si="98"/>
        <v>720.701</v>
      </c>
      <c r="J383" s="114">
        <f t="shared" si="98"/>
        <v>604.5740000000001</v>
      </c>
      <c r="K383" s="114">
        <f t="shared" si="98"/>
        <v>634.733</v>
      </c>
      <c r="L383" s="114">
        <f t="shared" si="98"/>
        <v>462.214</v>
      </c>
      <c r="M383" s="114">
        <f t="shared" si="98"/>
        <v>460.19800000000004</v>
      </c>
      <c r="N383" s="114">
        <f t="shared" si="98"/>
        <v>607.557</v>
      </c>
      <c r="O383" s="114">
        <f t="shared" si="98"/>
        <v>615.4779999999998</v>
      </c>
      <c r="P383" s="114">
        <f t="shared" si="98"/>
        <v>523.37</v>
      </c>
      <c r="Q383" s="114">
        <f t="shared" si="98"/>
        <v>578.31</v>
      </c>
      <c r="R383" s="145">
        <f>SUM(F383:Q383)</f>
        <v>7089.183000000001</v>
      </c>
      <c r="S383" s="161">
        <f>R383/12</f>
        <v>590.76525</v>
      </c>
      <c r="T383" s="145">
        <f>MAX(F383:Q383)</f>
        <v>736.324</v>
      </c>
    </row>
    <row r="384" spans="1:20" ht="15.75">
      <c r="A384" s="36"/>
      <c r="B384" s="108"/>
      <c r="D384" s="136" t="s">
        <v>563</v>
      </c>
      <c r="E384" s="109"/>
      <c r="F384" s="114">
        <f aca="true" t="shared" si="99" ref="F384:Q385">F375+F315</f>
        <v>621.502</v>
      </c>
      <c r="G384" s="114">
        <f t="shared" si="99"/>
        <v>714.6899999999999</v>
      </c>
      <c r="H384" s="114">
        <f t="shared" si="99"/>
        <v>655.894</v>
      </c>
      <c r="I384" s="114">
        <f t="shared" si="99"/>
        <v>692.133</v>
      </c>
      <c r="J384" s="114">
        <f t="shared" si="99"/>
        <v>608.504</v>
      </c>
      <c r="K384" s="114">
        <f t="shared" si="99"/>
        <v>574.741</v>
      </c>
      <c r="L384" s="114">
        <f t="shared" si="99"/>
        <v>592.3983333333333</v>
      </c>
      <c r="M384" s="114">
        <f t="shared" si="99"/>
        <v>592.3983333333333</v>
      </c>
      <c r="N384" s="114">
        <f t="shared" si="99"/>
        <v>592.3983333333333</v>
      </c>
      <c r="O384" s="114">
        <f t="shared" si="99"/>
        <v>592.3983333333333</v>
      </c>
      <c r="P384" s="114">
        <f t="shared" si="99"/>
        <v>592.3983333333333</v>
      </c>
      <c r="Q384" s="114">
        <f t="shared" si="99"/>
        <v>592.3983333333333</v>
      </c>
      <c r="R384" s="149">
        <f>SUM(F384:Q384)</f>
        <v>7421.854000000001</v>
      </c>
      <c r="S384" s="173">
        <f>R384/12</f>
        <v>618.4878333333335</v>
      </c>
      <c r="T384" s="149">
        <f>MAX(F384:Q384)</f>
        <v>714.6899999999999</v>
      </c>
    </row>
    <row r="385" spans="1:20" ht="15.75">
      <c r="A385" s="36"/>
      <c r="B385" s="108"/>
      <c r="D385" s="136" t="s">
        <v>685</v>
      </c>
      <c r="E385" s="109"/>
      <c r="F385" s="114">
        <f t="shared" si="99"/>
        <v>672.7872145485535</v>
      </c>
      <c r="G385" s="114">
        <f t="shared" si="99"/>
        <v>709.9012122385535</v>
      </c>
      <c r="H385" s="114">
        <f t="shared" si="99"/>
        <v>734.7109617085536</v>
      </c>
      <c r="I385" s="114">
        <f t="shared" si="99"/>
        <v>771.1839199885535</v>
      </c>
      <c r="J385" s="114">
        <f t="shared" si="99"/>
        <v>769.9689809885535</v>
      </c>
      <c r="K385" s="114">
        <f t="shared" si="99"/>
        <v>760.4931910385535</v>
      </c>
      <c r="L385" s="114">
        <f t="shared" si="99"/>
        <v>723.2158569885535</v>
      </c>
      <c r="M385" s="114">
        <f t="shared" si="99"/>
        <v>684.9440057885536</v>
      </c>
      <c r="N385" s="114">
        <f t="shared" si="99"/>
        <v>666.2346304885535</v>
      </c>
      <c r="O385" s="114">
        <f t="shared" si="99"/>
        <v>655.6999345585535</v>
      </c>
      <c r="P385" s="114">
        <f t="shared" si="99"/>
        <v>655.9533682885535</v>
      </c>
      <c r="Q385" s="114">
        <f t="shared" si="99"/>
        <v>659.8800393885535</v>
      </c>
      <c r="R385" s="149">
        <f>SUM(F385:Q385)</f>
        <v>8464.973316012642</v>
      </c>
      <c r="S385" s="173">
        <f>R385/12</f>
        <v>705.4144430010534</v>
      </c>
      <c r="T385" s="149">
        <f>MAX(F385:Q385)</f>
        <v>771.1839199885535</v>
      </c>
    </row>
    <row r="386" spans="1:20" ht="15.75">
      <c r="A386" s="36"/>
      <c r="B386" s="108"/>
      <c r="D386" s="136"/>
      <c r="E386" s="109"/>
      <c r="F386" s="113"/>
      <c r="G386" s="113"/>
      <c r="H386" s="113"/>
      <c r="I386" s="113"/>
      <c r="J386" s="113"/>
      <c r="K386" s="113"/>
      <c r="L386" s="113"/>
      <c r="M386" s="113"/>
      <c r="N386" s="113"/>
      <c r="O386" s="113"/>
      <c r="P386" s="113"/>
      <c r="Q386" s="113"/>
      <c r="R386" s="114"/>
      <c r="S386" s="180"/>
      <c r="T386" s="63"/>
    </row>
    <row r="387" spans="1:20" ht="31.5">
      <c r="A387" s="36"/>
      <c r="B387" s="108" t="s">
        <v>352</v>
      </c>
      <c r="D387" s="136"/>
      <c r="E387" s="109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  <c r="Q387" s="113"/>
      <c r="R387" s="114"/>
      <c r="S387" s="180"/>
      <c r="T387" s="63"/>
    </row>
    <row r="388" spans="1:20" ht="15.75">
      <c r="A388" s="36">
        <v>22</v>
      </c>
      <c r="B388" s="108" t="s">
        <v>353</v>
      </c>
      <c r="D388" s="136"/>
      <c r="E388" s="109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  <c r="Q388" s="113"/>
      <c r="R388" s="114"/>
      <c r="S388" s="180"/>
      <c r="T388" s="63"/>
    </row>
    <row r="389" spans="2:20" ht="15.75">
      <c r="B389" s="108" t="s">
        <v>387</v>
      </c>
      <c r="C389" s="109"/>
      <c r="D389" s="138"/>
      <c r="E389" s="111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  <c r="P389" s="113"/>
      <c r="Q389" s="113"/>
      <c r="R389" s="114"/>
      <c r="S389" s="180"/>
      <c r="T389" s="63"/>
    </row>
    <row r="390" spans="2:20" ht="15.75">
      <c r="B390" s="129" t="s">
        <v>428</v>
      </c>
      <c r="D390" s="136" t="s">
        <v>562</v>
      </c>
      <c r="E390" s="109" t="s">
        <v>367</v>
      </c>
      <c r="F390" s="113">
        <v>2.69</v>
      </c>
      <c r="G390" s="113">
        <v>2.59</v>
      </c>
      <c r="H390" s="113">
        <v>2.777</v>
      </c>
      <c r="I390" s="113">
        <v>2.477</v>
      </c>
      <c r="J390" s="113">
        <v>2.355</v>
      </c>
      <c r="K390" s="113">
        <v>2.868</v>
      </c>
      <c r="L390" s="113">
        <v>2.396</v>
      </c>
      <c r="M390" s="113">
        <v>2.887</v>
      </c>
      <c r="N390" s="113">
        <v>2.887</v>
      </c>
      <c r="O390" s="113">
        <v>0</v>
      </c>
      <c r="P390" s="113">
        <v>0</v>
      </c>
      <c r="Q390" s="113">
        <v>0</v>
      </c>
      <c r="R390" s="145">
        <f>SUM(F390:Q390)</f>
        <v>23.927</v>
      </c>
      <c r="S390" s="161">
        <f>R390/12</f>
        <v>1.9939166666666666</v>
      </c>
      <c r="T390" s="145">
        <f>MAX(F390:Q390)</f>
        <v>2.887</v>
      </c>
    </row>
    <row r="391" spans="2:20" ht="15.75">
      <c r="B391" s="129"/>
      <c r="D391" s="136" t="s">
        <v>563</v>
      </c>
      <c r="E391" s="109"/>
      <c r="F391" s="113">
        <v>2.165</v>
      </c>
      <c r="G391" s="113">
        <v>1.97</v>
      </c>
      <c r="H391" s="113">
        <v>2.126</v>
      </c>
      <c r="I391" s="113">
        <v>2.343</v>
      </c>
      <c r="J391" s="113">
        <v>2.64</v>
      </c>
      <c r="K391" s="113">
        <v>0</v>
      </c>
      <c r="L391" s="113">
        <f aca="true" t="shared" si="100" ref="L391:Q391">11.24/6</f>
        <v>1.8733333333333333</v>
      </c>
      <c r="M391" s="113">
        <f t="shared" si="100"/>
        <v>1.8733333333333333</v>
      </c>
      <c r="N391" s="113">
        <f t="shared" si="100"/>
        <v>1.8733333333333333</v>
      </c>
      <c r="O391" s="113">
        <f t="shared" si="100"/>
        <v>1.8733333333333333</v>
      </c>
      <c r="P391" s="113">
        <f t="shared" si="100"/>
        <v>1.8733333333333333</v>
      </c>
      <c r="Q391" s="113">
        <f t="shared" si="100"/>
        <v>1.8733333333333333</v>
      </c>
      <c r="R391" s="149">
        <f>SUM(F391:Q391)</f>
        <v>22.484000000000005</v>
      </c>
      <c r="S391" s="173">
        <f>R391/12</f>
        <v>1.873666666666667</v>
      </c>
      <c r="T391" s="149">
        <f>MAX(F391:Q391)</f>
        <v>2.64</v>
      </c>
    </row>
    <row r="392" spans="2:20" ht="15.75">
      <c r="B392" s="133"/>
      <c r="D392" s="136" t="s">
        <v>685</v>
      </c>
      <c r="E392" s="109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  <c r="Q392" s="113"/>
      <c r="R392" s="149">
        <f>SUM(F392:Q392)</f>
        <v>0</v>
      </c>
      <c r="S392" s="173">
        <f>R392/12</f>
        <v>0</v>
      </c>
      <c r="T392" s="149">
        <f>MAX(F392:Q392)</f>
        <v>0</v>
      </c>
    </row>
    <row r="393" spans="2:20" ht="15.75">
      <c r="B393" s="108" t="s">
        <v>515</v>
      </c>
      <c r="D393" s="139"/>
      <c r="E393" s="125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4"/>
      <c r="S393" s="180"/>
      <c r="T393" s="111"/>
    </row>
    <row r="394" spans="2:20" ht="15.75">
      <c r="B394" s="129" t="s">
        <v>428</v>
      </c>
      <c r="D394" s="136" t="s">
        <v>562</v>
      </c>
      <c r="E394" s="109" t="s">
        <v>367</v>
      </c>
      <c r="F394" s="113">
        <v>1.752</v>
      </c>
      <c r="G394" s="113">
        <v>2.87</v>
      </c>
      <c r="H394" s="113">
        <v>4.379</v>
      </c>
      <c r="I394" s="113">
        <v>4.4</v>
      </c>
      <c r="J394" s="113">
        <v>3.085</v>
      </c>
      <c r="K394" s="113">
        <v>3.028</v>
      </c>
      <c r="L394" s="113">
        <v>1.47</v>
      </c>
      <c r="M394" s="113">
        <v>6.513</v>
      </c>
      <c r="N394" s="113">
        <v>7.234</v>
      </c>
      <c r="O394" s="113">
        <v>0</v>
      </c>
      <c r="P394" s="113">
        <v>0</v>
      </c>
      <c r="Q394" s="113">
        <v>0</v>
      </c>
      <c r="R394" s="145">
        <f>SUM(F394:Q394)</f>
        <v>34.731</v>
      </c>
      <c r="S394" s="161">
        <f>R394/12</f>
        <v>2.89425</v>
      </c>
      <c r="T394" s="145">
        <f>MAX(F394:Q394)</f>
        <v>7.234</v>
      </c>
    </row>
    <row r="395" spans="2:20" ht="15.75">
      <c r="B395" s="129"/>
      <c r="D395" s="136" t="s">
        <v>563</v>
      </c>
      <c r="E395" s="109"/>
      <c r="F395" s="113">
        <v>6.842</v>
      </c>
      <c r="G395" s="113">
        <v>11.733</v>
      </c>
      <c r="H395" s="113">
        <v>1.617</v>
      </c>
      <c r="I395" s="113">
        <v>1.891</v>
      </c>
      <c r="J395" s="113">
        <v>2.085</v>
      </c>
      <c r="K395" s="113">
        <v>0.492</v>
      </c>
      <c r="L395" s="113">
        <f aca="true" t="shared" si="101" ref="L395:Q395">24.6/6</f>
        <v>4.1000000000000005</v>
      </c>
      <c r="M395" s="113">
        <f t="shared" si="101"/>
        <v>4.1000000000000005</v>
      </c>
      <c r="N395" s="113">
        <f t="shared" si="101"/>
        <v>4.1000000000000005</v>
      </c>
      <c r="O395" s="113">
        <f t="shared" si="101"/>
        <v>4.1000000000000005</v>
      </c>
      <c r="P395" s="113">
        <f t="shared" si="101"/>
        <v>4.1000000000000005</v>
      </c>
      <c r="Q395" s="113">
        <f t="shared" si="101"/>
        <v>4.1000000000000005</v>
      </c>
      <c r="R395" s="149">
        <f>SUM(F395:Q395)</f>
        <v>49.260000000000005</v>
      </c>
      <c r="S395" s="173">
        <f>R395/12</f>
        <v>4.105</v>
      </c>
      <c r="T395" s="149">
        <f>MAX(F395:Q395)</f>
        <v>11.733</v>
      </c>
    </row>
    <row r="396" spans="2:20" ht="15.75">
      <c r="B396" s="133"/>
      <c r="D396" s="136" t="s">
        <v>685</v>
      </c>
      <c r="E396" s="109"/>
      <c r="F396" s="169"/>
      <c r="G396" s="169"/>
      <c r="H396" s="169"/>
      <c r="I396" s="169"/>
      <c r="J396" s="169"/>
      <c r="K396" s="169"/>
      <c r="L396" s="169"/>
      <c r="M396" s="169"/>
      <c r="N396" s="169"/>
      <c r="O396" s="169"/>
      <c r="P396" s="169"/>
      <c r="Q396" s="169"/>
      <c r="R396" s="149">
        <f>SUM(F396:Q396)</f>
        <v>0</v>
      </c>
      <c r="S396" s="173">
        <f>R396/12</f>
        <v>0</v>
      </c>
      <c r="T396" s="149">
        <f>MAX(F396:Q396)</f>
        <v>0</v>
      </c>
    </row>
    <row r="397" spans="2:20" ht="15.75">
      <c r="B397" s="108" t="s">
        <v>567</v>
      </c>
      <c r="D397" s="139"/>
      <c r="E397" s="126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  <c r="R397" s="114"/>
      <c r="S397" s="180"/>
      <c r="T397" s="116"/>
    </row>
    <row r="398" spans="2:20" ht="15.75">
      <c r="B398" s="129" t="s">
        <v>428</v>
      </c>
      <c r="D398" s="136" t="s">
        <v>562</v>
      </c>
      <c r="E398" s="109" t="s">
        <v>367</v>
      </c>
      <c r="F398" s="113">
        <v>3.331</v>
      </c>
      <c r="G398" s="113">
        <v>4.372</v>
      </c>
      <c r="H398" s="113"/>
      <c r="I398" s="113">
        <v>5.096</v>
      </c>
      <c r="J398" s="113">
        <v>4.499</v>
      </c>
      <c r="K398" s="113">
        <v>2.635</v>
      </c>
      <c r="L398" s="113">
        <v>0.525</v>
      </c>
      <c r="M398" s="113">
        <v>1.164</v>
      </c>
      <c r="N398" s="113">
        <v>2.798</v>
      </c>
      <c r="O398" s="113">
        <v>2.102</v>
      </c>
      <c r="P398" s="113">
        <v>2.536</v>
      </c>
      <c r="Q398" s="113">
        <v>2.315</v>
      </c>
      <c r="R398" s="145">
        <f>SUM(F398:Q398)</f>
        <v>31.373000000000005</v>
      </c>
      <c r="S398" s="161">
        <f>R398/12</f>
        <v>2.614416666666667</v>
      </c>
      <c r="T398" s="145">
        <f>MAX(F398:Q398)</f>
        <v>5.096</v>
      </c>
    </row>
    <row r="399" spans="2:20" ht="15.75">
      <c r="B399" s="134"/>
      <c r="D399" s="136" t="s">
        <v>563</v>
      </c>
      <c r="E399" s="109"/>
      <c r="F399" s="113">
        <v>1.229</v>
      </c>
      <c r="G399" s="113">
        <v>1.147</v>
      </c>
      <c r="H399" s="113">
        <v>0.904</v>
      </c>
      <c r="I399" s="113">
        <v>0.459</v>
      </c>
      <c r="J399" s="113">
        <v>3.388</v>
      </c>
      <c r="K399" s="113">
        <v>1.647</v>
      </c>
      <c r="L399" s="113">
        <f aca="true" t="shared" si="102" ref="L399:Q399">8.774/6</f>
        <v>1.4623333333333333</v>
      </c>
      <c r="M399" s="113">
        <f t="shared" si="102"/>
        <v>1.4623333333333333</v>
      </c>
      <c r="N399" s="113">
        <f t="shared" si="102"/>
        <v>1.4623333333333333</v>
      </c>
      <c r="O399" s="113">
        <f t="shared" si="102"/>
        <v>1.4623333333333333</v>
      </c>
      <c r="P399" s="113">
        <f t="shared" si="102"/>
        <v>1.4623333333333333</v>
      </c>
      <c r="Q399" s="113">
        <f t="shared" si="102"/>
        <v>1.4623333333333333</v>
      </c>
      <c r="R399" s="149">
        <f>SUM(F399:Q399)</f>
        <v>17.548000000000002</v>
      </c>
      <c r="S399" s="173">
        <f>R399/12</f>
        <v>1.4623333333333335</v>
      </c>
      <c r="T399" s="149">
        <f>MAX(F399:Q399)</f>
        <v>3.388</v>
      </c>
    </row>
    <row r="400" spans="2:20" ht="15.75">
      <c r="B400" s="135"/>
      <c r="D400" s="136" t="s">
        <v>685</v>
      </c>
      <c r="E400" s="109"/>
      <c r="F400" s="169"/>
      <c r="G400" s="169"/>
      <c r="H400" s="169"/>
      <c r="I400" s="169"/>
      <c r="J400" s="169"/>
      <c r="K400" s="169"/>
      <c r="L400" s="169"/>
      <c r="M400" s="169"/>
      <c r="N400" s="169"/>
      <c r="O400" s="169"/>
      <c r="P400" s="169"/>
      <c r="Q400" s="169"/>
      <c r="R400" s="149">
        <f>SUM(F400:Q400)</f>
        <v>0</v>
      </c>
      <c r="S400" s="173">
        <f>R400/12</f>
        <v>0</v>
      </c>
      <c r="T400" s="149">
        <f>MAX(F400:Q400)</f>
        <v>0</v>
      </c>
    </row>
    <row r="401" spans="2:20" ht="15.75">
      <c r="B401" s="133" t="s">
        <v>568</v>
      </c>
      <c r="D401" s="139"/>
      <c r="E401" s="125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  <c r="R401" s="114"/>
      <c r="S401" s="180"/>
      <c r="T401" s="116"/>
    </row>
    <row r="402" spans="2:20" ht="15.75">
      <c r="B402" s="134" t="s">
        <v>428</v>
      </c>
      <c r="D402" s="136" t="s">
        <v>562</v>
      </c>
      <c r="E402" s="109" t="s">
        <v>367</v>
      </c>
      <c r="F402" s="113">
        <v>9.569</v>
      </c>
      <c r="G402" s="113">
        <v>0</v>
      </c>
      <c r="H402" s="113">
        <v>0</v>
      </c>
      <c r="I402" s="113">
        <v>0</v>
      </c>
      <c r="J402" s="113">
        <v>0.643</v>
      </c>
      <c r="K402" s="113">
        <v>0.54</v>
      </c>
      <c r="L402" s="113">
        <v>0.665</v>
      </c>
      <c r="M402" s="113">
        <v>0.561</v>
      </c>
      <c r="N402" s="113">
        <v>0.578</v>
      </c>
      <c r="O402" s="113">
        <v>0.453</v>
      </c>
      <c r="P402" s="113">
        <v>0.546</v>
      </c>
      <c r="Q402" s="113">
        <v>0.364</v>
      </c>
      <c r="R402" s="114">
        <f>SUM(F402:Q402)</f>
        <v>13.919</v>
      </c>
      <c r="S402" s="180">
        <f>R402/12</f>
        <v>1.1599166666666667</v>
      </c>
      <c r="T402" s="112">
        <f>MAX(F402:Q402)</f>
        <v>9.569</v>
      </c>
    </row>
    <row r="403" spans="2:20" ht="15.75">
      <c r="B403" s="134"/>
      <c r="D403" s="136" t="s">
        <v>563</v>
      </c>
      <c r="E403" s="109"/>
      <c r="F403" s="113">
        <v>0.443</v>
      </c>
      <c r="G403" s="113">
        <v>0.535</v>
      </c>
      <c r="H403" s="113">
        <v>0.509</v>
      </c>
      <c r="I403" s="113">
        <v>1.662</v>
      </c>
      <c r="J403" s="113">
        <v>1.571</v>
      </c>
      <c r="K403" s="113">
        <v>1.532</v>
      </c>
      <c r="L403" s="113">
        <f aca="true" t="shared" si="103" ref="L403:Q403">6.252/6</f>
        <v>1.042</v>
      </c>
      <c r="M403" s="113">
        <f t="shared" si="103"/>
        <v>1.042</v>
      </c>
      <c r="N403" s="113">
        <f t="shared" si="103"/>
        <v>1.042</v>
      </c>
      <c r="O403" s="113">
        <f t="shared" si="103"/>
        <v>1.042</v>
      </c>
      <c r="P403" s="113">
        <f t="shared" si="103"/>
        <v>1.042</v>
      </c>
      <c r="Q403" s="113">
        <f t="shared" si="103"/>
        <v>1.042</v>
      </c>
      <c r="R403" s="114">
        <f>SUM(F403:Q403)</f>
        <v>12.504</v>
      </c>
      <c r="S403" s="180">
        <f>R403/12</f>
        <v>1.042</v>
      </c>
      <c r="T403" s="114">
        <f>MAX(F403:Q403)</f>
        <v>1.662</v>
      </c>
    </row>
    <row r="404" spans="2:20" ht="15.75">
      <c r="B404" s="133"/>
      <c r="D404" s="136" t="s">
        <v>685</v>
      </c>
      <c r="E404" s="109"/>
      <c r="F404" s="169"/>
      <c r="G404" s="169"/>
      <c r="H404" s="169"/>
      <c r="I404" s="169"/>
      <c r="J404" s="169"/>
      <c r="K404" s="169"/>
      <c r="L404" s="169"/>
      <c r="M404" s="169"/>
      <c r="N404" s="169"/>
      <c r="O404" s="169"/>
      <c r="P404" s="169"/>
      <c r="Q404" s="169"/>
      <c r="R404" s="114">
        <f>SUM(F404:Q404)</f>
        <v>0</v>
      </c>
      <c r="S404" s="180">
        <f>R404/12</f>
        <v>0</v>
      </c>
      <c r="T404" s="114">
        <f>MAX(F404:Q404)</f>
        <v>0</v>
      </c>
    </row>
    <row r="405" spans="2:20" ht="31.5">
      <c r="B405" s="133" t="s">
        <v>569</v>
      </c>
      <c r="D405" s="139"/>
      <c r="E405" s="125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  <c r="R405" s="114"/>
      <c r="S405" s="180"/>
      <c r="T405" s="116"/>
    </row>
    <row r="406" spans="2:20" ht="15.75">
      <c r="B406" s="129" t="s">
        <v>428</v>
      </c>
      <c r="D406" s="136" t="s">
        <v>562</v>
      </c>
      <c r="E406" s="109" t="s">
        <v>367</v>
      </c>
      <c r="F406" s="113">
        <v>5.49</v>
      </c>
      <c r="G406" s="113">
        <v>12.251</v>
      </c>
      <c r="H406" s="113">
        <v>12.24</v>
      </c>
      <c r="I406" s="113">
        <v>12.4</v>
      </c>
      <c r="J406" s="113">
        <v>7.221</v>
      </c>
      <c r="K406" s="113">
        <v>7.745</v>
      </c>
      <c r="L406" s="113">
        <v>7.895</v>
      </c>
      <c r="M406" s="113">
        <v>7.416</v>
      </c>
      <c r="N406" s="113">
        <v>9.512</v>
      </c>
      <c r="O406" s="113">
        <v>9.62</v>
      </c>
      <c r="P406" s="113">
        <v>5.721</v>
      </c>
      <c r="Q406" s="113">
        <v>4.905</v>
      </c>
      <c r="R406" s="114">
        <f>SUM(F406:Q406)</f>
        <v>102.41600000000001</v>
      </c>
      <c r="S406" s="180">
        <f>R406/12</f>
        <v>8.534666666666668</v>
      </c>
      <c r="T406" s="112">
        <f>MAX(F406:Q406)</f>
        <v>12.4</v>
      </c>
    </row>
    <row r="407" spans="2:20" ht="15.75">
      <c r="B407" s="129"/>
      <c r="D407" s="136" t="s">
        <v>563</v>
      </c>
      <c r="E407" s="109"/>
      <c r="F407" s="113">
        <v>4.905</v>
      </c>
      <c r="G407" s="113">
        <v>6.235</v>
      </c>
      <c r="H407" s="113">
        <v>11.642</v>
      </c>
      <c r="I407" s="113">
        <v>6.088</v>
      </c>
      <c r="J407" s="113">
        <v>13.376</v>
      </c>
      <c r="K407" s="113">
        <v>4.221</v>
      </c>
      <c r="L407" s="113">
        <f aca="true" t="shared" si="104" ref="L407:Q407">46.47/6</f>
        <v>7.745</v>
      </c>
      <c r="M407" s="113">
        <f t="shared" si="104"/>
        <v>7.745</v>
      </c>
      <c r="N407" s="113">
        <f t="shared" si="104"/>
        <v>7.745</v>
      </c>
      <c r="O407" s="113">
        <f t="shared" si="104"/>
        <v>7.745</v>
      </c>
      <c r="P407" s="113">
        <f t="shared" si="104"/>
        <v>7.745</v>
      </c>
      <c r="Q407" s="113">
        <f t="shared" si="104"/>
        <v>7.745</v>
      </c>
      <c r="R407" s="114">
        <f>SUM(F407:Q407)-0.03</f>
        <v>92.90700000000001</v>
      </c>
      <c r="S407" s="180">
        <f>R407/12</f>
        <v>7.742250000000001</v>
      </c>
      <c r="T407" s="114">
        <f>MAX(F407:Q407)</f>
        <v>13.376</v>
      </c>
    </row>
    <row r="408" spans="2:20" ht="15.75">
      <c r="B408" s="133"/>
      <c r="D408" s="136" t="s">
        <v>685</v>
      </c>
      <c r="E408" s="109"/>
      <c r="F408" s="169"/>
      <c r="G408" s="169"/>
      <c r="H408" s="169"/>
      <c r="I408" s="169"/>
      <c r="J408" s="169"/>
      <c r="K408" s="169"/>
      <c r="L408" s="169"/>
      <c r="M408" s="169"/>
      <c r="N408" s="169"/>
      <c r="O408" s="169"/>
      <c r="P408" s="169"/>
      <c r="Q408" s="169"/>
      <c r="R408" s="114">
        <f>SUM(F408:Q408)</f>
        <v>0</v>
      </c>
      <c r="S408" s="180">
        <f>R408/12</f>
        <v>0</v>
      </c>
      <c r="T408" s="114">
        <f>MAX(F408:Q408)</f>
        <v>0</v>
      </c>
    </row>
    <row r="409" spans="2:20" ht="15.75">
      <c r="B409" s="133" t="s">
        <v>570</v>
      </c>
      <c r="D409" s="139"/>
      <c r="E409" s="127"/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114"/>
      <c r="S409" s="180"/>
      <c r="T409" s="128"/>
    </row>
    <row r="410" spans="2:20" ht="15.75">
      <c r="B410" s="129" t="s">
        <v>428</v>
      </c>
      <c r="D410" s="136" t="s">
        <v>562</v>
      </c>
      <c r="E410" s="109" t="s">
        <v>367</v>
      </c>
      <c r="F410" s="113">
        <v>20.977</v>
      </c>
      <c r="G410" s="113">
        <v>12.389</v>
      </c>
      <c r="H410" s="113">
        <v>5.927</v>
      </c>
      <c r="I410" s="113">
        <v>10.979</v>
      </c>
      <c r="J410" s="113">
        <v>3.743</v>
      </c>
      <c r="K410" s="113">
        <v>9.734</v>
      </c>
      <c r="L410" s="400">
        <v>10.888</v>
      </c>
      <c r="M410" s="113">
        <v>8.172</v>
      </c>
      <c r="N410" s="113">
        <v>9.542</v>
      </c>
      <c r="O410" s="113">
        <v>8.74</v>
      </c>
      <c r="P410" s="113">
        <v>4.878</v>
      </c>
      <c r="Q410" s="113">
        <v>7.292</v>
      </c>
      <c r="R410" s="114">
        <f>SUM(F410:Q410)</f>
        <v>113.261</v>
      </c>
      <c r="S410" s="180">
        <f>R410/12</f>
        <v>9.438416666666667</v>
      </c>
      <c r="T410" s="112">
        <f>MAX(F410:Q410)</f>
        <v>20.977</v>
      </c>
    </row>
    <row r="411" spans="2:20" ht="15.75">
      <c r="B411" s="129"/>
      <c r="D411" s="136" t="s">
        <v>563</v>
      </c>
      <c r="E411" s="109"/>
      <c r="F411" s="113">
        <v>5.724</v>
      </c>
      <c r="G411" s="113">
        <v>7.195</v>
      </c>
      <c r="H411" s="113">
        <v>6.864</v>
      </c>
      <c r="I411" s="113">
        <v>4.218</v>
      </c>
      <c r="J411" s="113">
        <v>20.954</v>
      </c>
      <c r="K411" s="113">
        <v>7.962</v>
      </c>
      <c r="L411" s="113">
        <f aca="true" t="shared" si="105" ref="L411:Q411">52.92/6</f>
        <v>8.82</v>
      </c>
      <c r="M411" s="113">
        <f t="shared" si="105"/>
        <v>8.82</v>
      </c>
      <c r="N411" s="113">
        <f t="shared" si="105"/>
        <v>8.82</v>
      </c>
      <c r="O411" s="113">
        <f t="shared" si="105"/>
        <v>8.82</v>
      </c>
      <c r="P411" s="113">
        <f t="shared" si="105"/>
        <v>8.82</v>
      </c>
      <c r="Q411" s="113">
        <f t="shared" si="105"/>
        <v>8.82</v>
      </c>
      <c r="R411" s="114">
        <f>SUM(F411:Q411)</f>
        <v>105.83699999999999</v>
      </c>
      <c r="S411" s="180">
        <f>R411/12</f>
        <v>8.819749999999999</v>
      </c>
      <c r="T411" s="114">
        <f>MAX(F411:Q411)</f>
        <v>20.954</v>
      </c>
    </row>
    <row r="412" spans="2:20" ht="15.75">
      <c r="B412" s="133"/>
      <c r="D412" s="136" t="s">
        <v>685</v>
      </c>
      <c r="E412" s="109"/>
      <c r="F412" s="169"/>
      <c r="G412" s="169"/>
      <c r="H412" s="169"/>
      <c r="I412" s="169"/>
      <c r="J412" s="169"/>
      <c r="K412" s="169"/>
      <c r="L412" s="169"/>
      <c r="M412" s="169"/>
      <c r="N412" s="169"/>
      <c r="O412" s="169"/>
      <c r="P412" s="169"/>
      <c r="Q412" s="169"/>
      <c r="R412" s="114"/>
      <c r="S412" s="180">
        <f>R412/12</f>
        <v>0</v>
      </c>
      <c r="T412" s="114">
        <f>MAX(F412:Q412)</f>
        <v>0</v>
      </c>
    </row>
    <row r="413" spans="2:20" ht="15.75">
      <c r="B413" s="133" t="s">
        <v>657</v>
      </c>
      <c r="D413" s="139"/>
      <c r="E413" s="127"/>
      <c r="F413" s="113"/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114"/>
      <c r="S413" s="180"/>
      <c r="T413" s="128"/>
    </row>
    <row r="414" spans="2:20" ht="15.75">
      <c r="B414" s="134" t="s">
        <v>428</v>
      </c>
      <c r="D414" s="136" t="s">
        <v>562</v>
      </c>
      <c r="E414" s="109" t="s">
        <v>367</v>
      </c>
      <c r="F414" s="113">
        <v>0.64</v>
      </c>
      <c r="G414" s="113">
        <v>0.809</v>
      </c>
      <c r="H414" s="113">
        <v>0.238</v>
      </c>
      <c r="I414" s="113">
        <v>0</v>
      </c>
      <c r="J414" s="113">
        <v>0</v>
      </c>
      <c r="K414" s="113">
        <v>0.737</v>
      </c>
      <c r="L414" s="113">
        <v>0.375</v>
      </c>
      <c r="M414" s="113">
        <v>0.682</v>
      </c>
      <c r="N414" s="113">
        <v>0.063</v>
      </c>
      <c r="O414" s="113">
        <v>0.948</v>
      </c>
      <c r="P414" s="113">
        <v>0.628</v>
      </c>
      <c r="Q414" s="113">
        <v>0.85</v>
      </c>
      <c r="R414" s="114">
        <f>SUM(F414:Q414)</f>
        <v>5.97</v>
      </c>
      <c r="S414" s="180">
        <f>R414/12</f>
        <v>0.4975</v>
      </c>
      <c r="T414" s="112">
        <f>MAX(F414:Q414)</f>
        <v>0.948</v>
      </c>
    </row>
    <row r="415" spans="2:20" ht="15.75">
      <c r="B415" s="129"/>
      <c r="D415" s="136" t="s">
        <v>563</v>
      </c>
      <c r="E415" s="109"/>
      <c r="F415" s="113">
        <v>1.237</v>
      </c>
      <c r="G415" s="113">
        <v>0</v>
      </c>
      <c r="H415" s="113">
        <v>0.635</v>
      </c>
      <c r="I415" s="113">
        <v>0.431</v>
      </c>
      <c r="J415" s="113">
        <v>0.333</v>
      </c>
      <c r="K415" s="113">
        <v>0.378</v>
      </c>
      <c r="L415" s="113">
        <f aca="true" t="shared" si="106" ref="L415:Q415">3.01/6</f>
        <v>0.5016666666666666</v>
      </c>
      <c r="M415" s="113">
        <f t="shared" si="106"/>
        <v>0.5016666666666666</v>
      </c>
      <c r="N415" s="113">
        <f t="shared" si="106"/>
        <v>0.5016666666666666</v>
      </c>
      <c r="O415" s="113">
        <f t="shared" si="106"/>
        <v>0.5016666666666666</v>
      </c>
      <c r="P415" s="113">
        <f t="shared" si="106"/>
        <v>0.5016666666666666</v>
      </c>
      <c r="Q415" s="113">
        <f t="shared" si="106"/>
        <v>0.5016666666666666</v>
      </c>
      <c r="R415" s="114">
        <f>SUM(F415:Q415)</f>
        <v>6.024000000000001</v>
      </c>
      <c r="S415" s="180">
        <f>R415/12</f>
        <v>0.5020000000000001</v>
      </c>
      <c r="T415" s="114">
        <f>MAX(F415:Q415)</f>
        <v>1.237</v>
      </c>
    </row>
    <row r="416" spans="2:20" ht="15.75">
      <c r="B416" s="133"/>
      <c r="D416" s="136" t="s">
        <v>685</v>
      </c>
      <c r="E416" s="109"/>
      <c r="F416" s="169"/>
      <c r="G416" s="169"/>
      <c r="H416" s="169"/>
      <c r="I416" s="169"/>
      <c r="J416" s="169"/>
      <c r="K416" s="169"/>
      <c r="L416" s="169"/>
      <c r="M416" s="169"/>
      <c r="N416" s="169"/>
      <c r="O416" s="169"/>
      <c r="P416" s="169"/>
      <c r="Q416" s="169"/>
      <c r="R416" s="114">
        <f>SUM(F416:Q416)</f>
        <v>0</v>
      </c>
      <c r="S416" s="180">
        <f>R416/12</f>
        <v>0</v>
      </c>
      <c r="T416" s="114">
        <f>MAX(F416:Q416)</f>
        <v>0</v>
      </c>
    </row>
    <row r="417" spans="2:20" ht="15.75">
      <c r="B417" s="108" t="s">
        <v>571</v>
      </c>
      <c r="D417" s="139"/>
      <c r="E417" s="127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  <c r="R417" s="114"/>
      <c r="S417" s="180"/>
      <c r="T417" s="116"/>
    </row>
    <row r="418" spans="2:20" ht="15.75">
      <c r="B418" s="129" t="s">
        <v>428</v>
      </c>
      <c r="D418" s="136" t="s">
        <v>562</v>
      </c>
      <c r="E418" s="109" t="s">
        <v>367</v>
      </c>
      <c r="F418" s="113">
        <v>17.279</v>
      </c>
      <c r="G418" s="113">
        <v>14.527</v>
      </c>
      <c r="H418" s="113">
        <v>18.36</v>
      </c>
      <c r="I418" s="113">
        <v>22.18</v>
      </c>
      <c r="J418" s="113">
        <v>6.567</v>
      </c>
      <c r="K418" s="113">
        <v>5.884</v>
      </c>
      <c r="L418" s="113">
        <v>4.394</v>
      </c>
      <c r="M418" s="113">
        <v>9.573</v>
      </c>
      <c r="N418" s="113">
        <v>12.328</v>
      </c>
      <c r="O418" s="113">
        <v>14.645</v>
      </c>
      <c r="P418" s="113">
        <v>11.757</v>
      </c>
      <c r="Q418" s="113">
        <v>15.636</v>
      </c>
      <c r="R418" s="114">
        <f>SUM(F418:Q418)</f>
        <v>153.13</v>
      </c>
      <c r="S418" s="180">
        <f>R418/12</f>
        <v>12.760833333333332</v>
      </c>
      <c r="T418" s="112">
        <f>MAX(F418:Q418)</f>
        <v>22.18</v>
      </c>
    </row>
    <row r="419" spans="2:20" ht="15.75">
      <c r="B419" s="108"/>
      <c r="D419" s="136" t="s">
        <v>563</v>
      </c>
      <c r="E419" s="109"/>
      <c r="F419" s="113">
        <v>14.062</v>
      </c>
      <c r="G419" s="113">
        <v>6.372</v>
      </c>
      <c r="H419" s="113">
        <v>7.808</v>
      </c>
      <c r="I419" s="113">
        <v>7.028</v>
      </c>
      <c r="J419" s="113">
        <v>10.977</v>
      </c>
      <c r="K419" s="113">
        <v>6.138</v>
      </c>
      <c r="L419" s="113">
        <f aca="true" t="shared" si="107" ref="L419:Q419">52.39/6</f>
        <v>8.731666666666667</v>
      </c>
      <c r="M419" s="113">
        <f t="shared" si="107"/>
        <v>8.731666666666667</v>
      </c>
      <c r="N419" s="113">
        <f t="shared" si="107"/>
        <v>8.731666666666667</v>
      </c>
      <c r="O419" s="113">
        <f t="shared" si="107"/>
        <v>8.731666666666667</v>
      </c>
      <c r="P419" s="113">
        <f t="shared" si="107"/>
        <v>8.731666666666667</v>
      </c>
      <c r="Q419" s="113">
        <f t="shared" si="107"/>
        <v>8.731666666666667</v>
      </c>
      <c r="R419" s="114">
        <f>SUM(F419:Q419)</f>
        <v>104.775</v>
      </c>
      <c r="S419" s="180">
        <f>R419/12</f>
        <v>8.731250000000001</v>
      </c>
      <c r="T419" s="114">
        <f>MAX(F419:Q419)</f>
        <v>14.062</v>
      </c>
    </row>
    <row r="420" spans="2:20" ht="15.75">
      <c r="B420" s="133"/>
      <c r="D420" s="136" t="s">
        <v>685</v>
      </c>
      <c r="E420" s="109"/>
      <c r="F420" s="169"/>
      <c r="G420" s="169"/>
      <c r="H420" s="169"/>
      <c r="I420" s="169"/>
      <c r="J420" s="169"/>
      <c r="K420" s="169"/>
      <c r="L420" s="169"/>
      <c r="M420" s="169"/>
      <c r="N420" s="169"/>
      <c r="O420" s="169"/>
      <c r="P420" s="169"/>
      <c r="Q420" s="169"/>
      <c r="R420" s="114">
        <f>SUM(F420:Q420)</f>
        <v>0</v>
      </c>
      <c r="S420" s="180">
        <f>R420/12</f>
        <v>0</v>
      </c>
      <c r="T420" s="114">
        <f>MAX(F420:Q420)</f>
        <v>0</v>
      </c>
    </row>
    <row r="421" spans="2:20" ht="15.75">
      <c r="B421" s="133" t="s">
        <v>572</v>
      </c>
      <c r="D421" s="139"/>
      <c r="E421" s="127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  <c r="R421" s="114"/>
      <c r="S421" s="180"/>
      <c r="T421" s="116"/>
    </row>
    <row r="422" spans="2:20" ht="15.75">
      <c r="B422" s="129" t="s">
        <v>428</v>
      </c>
      <c r="D422" s="136" t="s">
        <v>562</v>
      </c>
      <c r="E422" s="109" t="s">
        <v>367</v>
      </c>
      <c r="F422" s="113">
        <v>0</v>
      </c>
      <c r="G422" s="113">
        <v>0</v>
      </c>
      <c r="H422" s="113">
        <v>0</v>
      </c>
      <c r="I422" s="113">
        <v>0</v>
      </c>
      <c r="J422" s="113">
        <v>0</v>
      </c>
      <c r="K422" s="113">
        <v>0</v>
      </c>
      <c r="L422" s="113">
        <v>0</v>
      </c>
      <c r="M422" s="113"/>
      <c r="N422" s="113">
        <v>0</v>
      </c>
      <c r="O422" s="113">
        <v>0</v>
      </c>
      <c r="P422" s="113">
        <v>0</v>
      </c>
      <c r="Q422" s="113">
        <v>0</v>
      </c>
      <c r="R422" s="114">
        <f>SUM(F422:Q422)</f>
        <v>0</v>
      </c>
      <c r="S422" s="180">
        <f>R422/12</f>
        <v>0</v>
      </c>
      <c r="T422" s="112">
        <f>MAX(F422:Q422)</f>
        <v>0</v>
      </c>
    </row>
    <row r="423" spans="2:20" ht="15.75">
      <c r="B423" s="108"/>
      <c r="D423" s="136" t="s">
        <v>563</v>
      </c>
      <c r="E423" s="109"/>
      <c r="F423" s="113">
        <v>0.558</v>
      </c>
      <c r="G423" s="113">
        <v>0.438</v>
      </c>
      <c r="H423" s="113">
        <v>0.948</v>
      </c>
      <c r="I423" s="113">
        <v>1.214</v>
      </c>
      <c r="J423" s="113">
        <v>0</v>
      </c>
      <c r="K423" s="113">
        <v>0.369</v>
      </c>
      <c r="L423" s="113">
        <f aca="true" t="shared" si="108" ref="L423:Q423">3.53/6</f>
        <v>0.5883333333333333</v>
      </c>
      <c r="M423" s="113">
        <f t="shared" si="108"/>
        <v>0.5883333333333333</v>
      </c>
      <c r="N423" s="113">
        <f t="shared" si="108"/>
        <v>0.5883333333333333</v>
      </c>
      <c r="O423" s="113">
        <f t="shared" si="108"/>
        <v>0.5883333333333333</v>
      </c>
      <c r="P423" s="113">
        <f t="shared" si="108"/>
        <v>0.5883333333333333</v>
      </c>
      <c r="Q423" s="113">
        <f t="shared" si="108"/>
        <v>0.5883333333333333</v>
      </c>
      <c r="R423" s="114">
        <f>SUM(F423:Q423)</f>
        <v>7.056999999999998</v>
      </c>
      <c r="S423" s="180">
        <f>R423/12</f>
        <v>0.5880833333333332</v>
      </c>
      <c r="T423" s="112">
        <f>MAX(F423:Q423)</f>
        <v>1.214</v>
      </c>
    </row>
    <row r="424" spans="2:20" ht="15.75">
      <c r="B424" s="133"/>
      <c r="D424" s="136" t="s">
        <v>685</v>
      </c>
      <c r="E424" s="109"/>
      <c r="F424" s="113">
        <v>0</v>
      </c>
      <c r="G424" s="113">
        <v>0</v>
      </c>
      <c r="H424" s="113">
        <v>0</v>
      </c>
      <c r="I424" s="113">
        <v>0</v>
      </c>
      <c r="J424" s="113">
        <v>0</v>
      </c>
      <c r="K424" s="113">
        <v>0</v>
      </c>
      <c r="L424" s="113">
        <v>0</v>
      </c>
      <c r="M424" s="113">
        <v>0</v>
      </c>
      <c r="N424" s="113">
        <v>0</v>
      </c>
      <c r="O424" s="113">
        <v>0</v>
      </c>
      <c r="P424" s="113">
        <v>0</v>
      </c>
      <c r="Q424" s="113">
        <v>0</v>
      </c>
      <c r="R424" s="114">
        <v>0</v>
      </c>
      <c r="S424" s="180">
        <f>R424/12</f>
        <v>0</v>
      </c>
      <c r="T424" s="114">
        <f>MAX(F424:Q424)</f>
        <v>0</v>
      </c>
    </row>
    <row r="425" spans="2:20" ht="15.75">
      <c r="B425" s="133"/>
      <c r="D425" s="140"/>
      <c r="E425" s="123"/>
      <c r="F425" s="113"/>
      <c r="G425" s="113"/>
      <c r="H425" s="113"/>
      <c r="I425" s="113"/>
      <c r="J425" s="113"/>
      <c r="K425" s="113"/>
      <c r="L425" s="113"/>
      <c r="M425" s="113"/>
      <c r="N425" s="113"/>
      <c r="O425" s="113"/>
      <c r="P425" s="113"/>
      <c r="Q425" s="113"/>
      <c r="R425" s="114"/>
      <c r="S425" s="180"/>
      <c r="T425" s="114"/>
    </row>
    <row r="426" spans="2:20" ht="15.75">
      <c r="B426" s="133" t="s">
        <v>658</v>
      </c>
      <c r="D426" s="139"/>
      <c r="E426" s="127"/>
      <c r="F426" s="113"/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114"/>
      <c r="S426" s="180"/>
      <c r="T426" s="116"/>
    </row>
    <row r="427" spans="2:20" ht="15.75">
      <c r="B427" s="134" t="s">
        <v>428</v>
      </c>
      <c r="D427" s="136" t="s">
        <v>562</v>
      </c>
      <c r="E427" s="109" t="s">
        <v>367</v>
      </c>
      <c r="F427" s="113">
        <v>0</v>
      </c>
      <c r="G427" s="113">
        <v>0</v>
      </c>
      <c r="H427" s="113">
        <v>0</v>
      </c>
      <c r="I427" s="113">
        <v>0</v>
      </c>
      <c r="J427" s="113">
        <v>0</v>
      </c>
      <c r="K427" s="113">
        <v>0</v>
      </c>
      <c r="L427" s="113">
        <v>0</v>
      </c>
      <c r="M427" s="113">
        <v>0</v>
      </c>
      <c r="N427" s="113">
        <v>0</v>
      </c>
      <c r="O427" s="113">
        <v>0</v>
      </c>
      <c r="P427" s="113">
        <v>0</v>
      </c>
      <c r="Q427" s="113">
        <v>0</v>
      </c>
      <c r="R427" s="114">
        <f>SUM(F427:Q427)</f>
        <v>0</v>
      </c>
      <c r="S427" s="180">
        <f>R427/12</f>
        <v>0</v>
      </c>
      <c r="T427" s="112">
        <f>MAX(F427:Q427)</f>
        <v>0</v>
      </c>
    </row>
    <row r="428" spans="2:20" ht="15.75">
      <c r="B428" s="108"/>
      <c r="D428" s="136" t="s">
        <v>563</v>
      </c>
      <c r="E428" s="109"/>
      <c r="F428" s="113">
        <v>0.082</v>
      </c>
      <c r="G428" s="113">
        <v>0.237</v>
      </c>
      <c r="H428" s="113">
        <v>0.172</v>
      </c>
      <c r="I428" s="113">
        <v>0.044</v>
      </c>
      <c r="J428" s="113">
        <v>0</v>
      </c>
      <c r="K428" s="113">
        <v>0</v>
      </c>
      <c r="L428" s="113">
        <v>0</v>
      </c>
      <c r="M428" s="113"/>
      <c r="N428" s="113"/>
      <c r="O428" s="113"/>
      <c r="P428" s="113"/>
      <c r="Q428" s="113"/>
      <c r="R428" s="114">
        <f>SUM(F428:Q428)</f>
        <v>0.535</v>
      </c>
      <c r="S428" s="180">
        <f>R428/12</f>
        <v>0.044583333333333336</v>
      </c>
      <c r="T428" s="114">
        <f>MAX(F428:Q428)</f>
        <v>0.237</v>
      </c>
    </row>
    <row r="429" spans="2:20" ht="15.75">
      <c r="B429" s="133"/>
      <c r="D429" s="136" t="s">
        <v>685</v>
      </c>
      <c r="E429" s="109"/>
      <c r="F429" s="113"/>
      <c r="G429" s="113"/>
      <c r="H429" s="113"/>
      <c r="I429" s="113"/>
      <c r="J429" s="113"/>
      <c r="K429" s="113"/>
      <c r="L429" s="113"/>
      <c r="M429" s="113"/>
      <c r="N429" s="113"/>
      <c r="O429" s="113"/>
      <c r="P429" s="113"/>
      <c r="Q429" s="113"/>
      <c r="R429" s="114">
        <f>SUM(F429:Q429)</f>
        <v>0</v>
      </c>
      <c r="S429" s="180">
        <f>R429/12</f>
        <v>0</v>
      </c>
      <c r="T429" s="114">
        <f>MAX(F429:Q429)</f>
        <v>0</v>
      </c>
    </row>
    <row r="430" spans="2:20" ht="15.75">
      <c r="B430" s="129"/>
      <c r="D430" s="130"/>
      <c r="E430" s="131"/>
      <c r="F430" s="113"/>
      <c r="G430" s="113"/>
      <c r="H430" s="113"/>
      <c r="I430" s="113"/>
      <c r="J430" s="113"/>
      <c r="K430" s="113"/>
      <c r="L430" s="113"/>
      <c r="M430" s="113"/>
      <c r="N430" s="113"/>
      <c r="O430" s="113"/>
      <c r="P430" s="113"/>
      <c r="Q430" s="113"/>
      <c r="R430" s="114"/>
      <c r="S430" s="180"/>
      <c r="T430" s="116"/>
    </row>
    <row r="431" spans="2:20" ht="15.75">
      <c r="B431" s="108" t="s">
        <v>575</v>
      </c>
      <c r="D431" s="139"/>
      <c r="E431" s="127"/>
      <c r="F431" s="113"/>
      <c r="G431" s="113"/>
      <c r="H431" s="113"/>
      <c r="I431" s="113"/>
      <c r="J431" s="113"/>
      <c r="K431" s="113"/>
      <c r="L431" s="113"/>
      <c r="M431" s="113"/>
      <c r="N431" s="113"/>
      <c r="O431" s="113"/>
      <c r="P431" s="113"/>
      <c r="Q431" s="113"/>
      <c r="R431" s="114"/>
      <c r="S431" s="180"/>
      <c r="T431" s="116"/>
    </row>
    <row r="432" spans="2:20" ht="15.75">
      <c r="B432" s="108" t="s">
        <v>25</v>
      </c>
      <c r="D432" s="136" t="s">
        <v>562</v>
      </c>
      <c r="E432" s="109" t="s">
        <v>367</v>
      </c>
      <c r="F432" s="113">
        <v>49.548</v>
      </c>
      <c r="G432" s="113">
        <v>4.461</v>
      </c>
      <c r="H432" s="113">
        <v>3.865</v>
      </c>
      <c r="I432" s="113">
        <v>20.976</v>
      </c>
      <c r="J432" s="113">
        <v>1.811</v>
      </c>
      <c r="K432" s="113">
        <v>2.675</v>
      </c>
      <c r="L432" s="113">
        <v>6.637</v>
      </c>
      <c r="M432" s="113">
        <v>9.148</v>
      </c>
      <c r="N432" s="113">
        <v>5.573</v>
      </c>
      <c r="O432" s="113">
        <v>4.55</v>
      </c>
      <c r="P432" s="113">
        <v>3.652</v>
      </c>
      <c r="Q432" s="113">
        <v>5.952</v>
      </c>
      <c r="R432" s="114">
        <f>SUM(F432:Q432)</f>
        <v>118.84799999999998</v>
      </c>
      <c r="S432" s="180">
        <f>R432/12</f>
        <v>9.903999999999998</v>
      </c>
      <c r="T432" s="112">
        <f>MAX(F432:Q432)</f>
        <v>49.548</v>
      </c>
    </row>
    <row r="433" spans="2:20" ht="15.75">
      <c r="B433" s="108"/>
      <c r="D433" s="136" t="s">
        <v>563</v>
      </c>
      <c r="E433" s="109"/>
      <c r="F433" s="113">
        <v>4.603</v>
      </c>
      <c r="G433" s="113">
        <v>0.961</v>
      </c>
      <c r="H433" s="113">
        <v>0</v>
      </c>
      <c r="I433" s="113">
        <v>2.206</v>
      </c>
      <c r="J433" s="113">
        <v>5.681</v>
      </c>
      <c r="K433" s="113">
        <v>2.675</v>
      </c>
      <c r="L433" s="113">
        <f aca="true" t="shared" si="109" ref="L433:Q433">19.28/6</f>
        <v>3.2133333333333334</v>
      </c>
      <c r="M433" s="113">
        <f t="shared" si="109"/>
        <v>3.2133333333333334</v>
      </c>
      <c r="N433" s="113">
        <f t="shared" si="109"/>
        <v>3.2133333333333334</v>
      </c>
      <c r="O433" s="113">
        <f t="shared" si="109"/>
        <v>3.2133333333333334</v>
      </c>
      <c r="P433" s="113">
        <f t="shared" si="109"/>
        <v>3.2133333333333334</v>
      </c>
      <c r="Q433" s="113">
        <f t="shared" si="109"/>
        <v>3.2133333333333334</v>
      </c>
      <c r="R433" s="114">
        <f>SUM(F433:Q433)</f>
        <v>35.406000000000006</v>
      </c>
      <c r="S433" s="180">
        <f>R433/12</f>
        <v>2.9505000000000003</v>
      </c>
      <c r="T433" s="114">
        <f>MAX(F433:Q433)</f>
        <v>5.681</v>
      </c>
    </row>
    <row r="434" spans="2:20" ht="15.75">
      <c r="B434" s="133"/>
      <c r="D434" s="136" t="s">
        <v>685</v>
      </c>
      <c r="E434" s="109"/>
      <c r="F434" s="169"/>
      <c r="G434" s="169"/>
      <c r="H434" s="169"/>
      <c r="I434" s="169"/>
      <c r="J434" s="169"/>
      <c r="K434" s="169"/>
      <c r="L434" s="169"/>
      <c r="M434" s="169"/>
      <c r="N434" s="169"/>
      <c r="O434" s="169"/>
      <c r="P434" s="169"/>
      <c r="Q434" s="169"/>
      <c r="R434" s="114">
        <f>SUM(F434:Q434)</f>
        <v>0</v>
      </c>
      <c r="S434" s="180">
        <f>R434/12</f>
        <v>0</v>
      </c>
      <c r="T434" s="114">
        <f>MAX(F434:Q434)</f>
        <v>0</v>
      </c>
    </row>
    <row r="435" spans="2:20" ht="15.75">
      <c r="B435" s="129"/>
      <c r="D435" s="130"/>
      <c r="E435" s="131"/>
      <c r="F435" s="113"/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  <c r="R435" s="114"/>
      <c r="S435" s="180"/>
      <c r="T435" s="116"/>
    </row>
    <row r="436" spans="2:20" ht="15.75">
      <c r="B436" s="108" t="s">
        <v>576</v>
      </c>
      <c r="D436" s="139"/>
      <c r="E436" s="127"/>
      <c r="F436" s="113"/>
      <c r="G436" s="113"/>
      <c r="H436" s="113"/>
      <c r="I436" s="113"/>
      <c r="J436" s="113"/>
      <c r="K436" s="113"/>
      <c r="L436" s="113"/>
      <c r="M436" s="113"/>
      <c r="N436" s="113"/>
      <c r="O436" s="113"/>
      <c r="P436" s="113"/>
      <c r="Q436" s="113"/>
      <c r="R436" s="114"/>
      <c r="S436" s="180"/>
      <c r="T436" s="116"/>
    </row>
    <row r="437" spans="2:20" ht="15.75">
      <c r="B437" s="108" t="s">
        <v>25</v>
      </c>
      <c r="D437" s="136" t="s">
        <v>562</v>
      </c>
      <c r="E437" s="109" t="s">
        <v>367</v>
      </c>
      <c r="F437" s="113">
        <v>0.343</v>
      </c>
      <c r="G437" s="113">
        <v>0.566</v>
      </c>
      <c r="H437" s="113">
        <v>0.372</v>
      </c>
      <c r="I437" s="113">
        <v>0.464</v>
      </c>
      <c r="J437" s="113">
        <v>0.468</v>
      </c>
      <c r="K437" s="113">
        <v>0.399</v>
      </c>
      <c r="L437" s="113">
        <v>0.177</v>
      </c>
      <c r="M437" s="113">
        <v>0.835</v>
      </c>
      <c r="N437" s="113">
        <v>0.49</v>
      </c>
      <c r="O437" s="113">
        <v>0.398</v>
      </c>
      <c r="P437" s="113">
        <v>1.066</v>
      </c>
      <c r="Q437" s="113">
        <v>0.423</v>
      </c>
      <c r="R437" s="114">
        <f>SUM(F437:Q437)</f>
        <v>6.0009999999999994</v>
      </c>
      <c r="S437" s="180">
        <f>R437/12</f>
        <v>0.5000833333333333</v>
      </c>
      <c r="T437" s="112">
        <f>MAX(F437:Q437)</f>
        <v>1.066</v>
      </c>
    </row>
    <row r="438" spans="2:20" ht="15.75">
      <c r="B438" s="108"/>
      <c r="D438" s="136" t="s">
        <v>563</v>
      </c>
      <c r="E438" s="109"/>
      <c r="F438" s="113">
        <v>0.514</v>
      </c>
      <c r="G438" s="113">
        <v>0.6</v>
      </c>
      <c r="H438" s="113">
        <v>0.637</v>
      </c>
      <c r="I438" s="113">
        <v>0.524</v>
      </c>
      <c r="J438" s="113">
        <v>0.159</v>
      </c>
      <c r="K438" s="113">
        <v>0.439</v>
      </c>
      <c r="L438" s="113">
        <f aca="true" t="shared" si="110" ref="L438:Q438">2.87/6</f>
        <v>0.47833333333333333</v>
      </c>
      <c r="M438" s="113">
        <f t="shared" si="110"/>
        <v>0.47833333333333333</v>
      </c>
      <c r="N438" s="113">
        <f t="shared" si="110"/>
        <v>0.47833333333333333</v>
      </c>
      <c r="O438" s="113">
        <f t="shared" si="110"/>
        <v>0.47833333333333333</v>
      </c>
      <c r="P438" s="113">
        <f t="shared" si="110"/>
        <v>0.47833333333333333</v>
      </c>
      <c r="Q438" s="113">
        <f t="shared" si="110"/>
        <v>0.47833333333333333</v>
      </c>
      <c r="R438" s="114">
        <f>SUM(F438:Q438)</f>
        <v>5.743</v>
      </c>
      <c r="S438" s="180">
        <f>R438/12</f>
        <v>0.47858333333333336</v>
      </c>
      <c r="T438" s="114">
        <f>MAX(F438:Q438)</f>
        <v>0.637</v>
      </c>
    </row>
    <row r="439" spans="2:20" ht="15.75">
      <c r="B439" s="133"/>
      <c r="D439" s="136" t="s">
        <v>685</v>
      </c>
      <c r="E439" s="109"/>
      <c r="F439" s="169"/>
      <c r="G439" s="169"/>
      <c r="H439" s="169"/>
      <c r="I439" s="169"/>
      <c r="J439" s="169"/>
      <c r="K439" s="169"/>
      <c r="L439" s="169"/>
      <c r="M439" s="169"/>
      <c r="N439" s="169"/>
      <c r="O439" s="169"/>
      <c r="P439" s="169"/>
      <c r="Q439" s="169"/>
      <c r="R439" s="114">
        <f>SUM(F439:Q439)</f>
        <v>0</v>
      </c>
      <c r="S439" s="180">
        <f>R439/12</f>
        <v>0</v>
      </c>
      <c r="T439" s="114">
        <f>MAX(F439:Q439)</f>
        <v>0</v>
      </c>
    </row>
    <row r="440" spans="2:20" ht="15.75">
      <c r="B440" s="108" t="s">
        <v>590</v>
      </c>
      <c r="D440" s="63"/>
      <c r="E440" s="139"/>
      <c r="T440" s="63"/>
    </row>
    <row r="441" spans="2:20" ht="15.75">
      <c r="B441" s="108" t="s">
        <v>25</v>
      </c>
      <c r="D441" s="136" t="s">
        <v>562</v>
      </c>
      <c r="E441" s="109" t="s">
        <v>367</v>
      </c>
      <c r="F441" s="113">
        <v>0.28</v>
      </c>
      <c r="G441" s="113">
        <v>0.562</v>
      </c>
      <c r="H441" s="113">
        <v>0.362</v>
      </c>
      <c r="I441" s="113">
        <v>0.284</v>
      </c>
      <c r="J441" s="113">
        <v>0.391</v>
      </c>
      <c r="K441" s="113">
        <v>0.517</v>
      </c>
      <c r="L441" s="113">
        <v>0.522</v>
      </c>
      <c r="M441" s="113">
        <v>0.422</v>
      </c>
      <c r="N441" s="113">
        <v>0.437</v>
      </c>
      <c r="O441" s="113">
        <v>0.4</v>
      </c>
      <c r="P441" s="113">
        <v>0.308</v>
      </c>
      <c r="Q441" s="113">
        <v>0.596</v>
      </c>
      <c r="R441" s="114">
        <f>SUM(F441:Q441)</f>
        <v>5.081</v>
      </c>
      <c r="S441" s="180">
        <f>R441/12</f>
        <v>0.4234166666666667</v>
      </c>
      <c r="T441" s="114">
        <f>MAX(F442:Q442)</f>
        <v>0.495</v>
      </c>
    </row>
    <row r="442" spans="2:20" ht="15.75">
      <c r="B442" s="133"/>
      <c r="D442" s="136" t="s">
        <v>563</v>
      </c>
      <c r="E442" s="109"/>
      <c r="F442" s="113">
        <v>0.319</v>
      </c>
      <c r="G442" s="113">
        <v>0.49</v>
      </c>
      <c r="H442" s="113">
        <v>0.495</v>
      </c>
      <c r="I442" s="113">
        <v>0.36</v>
      </c>
      <c r="J442" s="113">
        <v>0.445</v>
      </c>
      <c r="K442" s="113">
        <v>0.388</v>
      </c>
      <c r="L442" s="113">
        <f aca="true" t="shared" si="111" ref="L442:Q442">2.4/6</f>
        <v>0.39999999999999997</v>
      </c>
      <c r="M442" s="113">
        <f t="shared" si="111"/>
        <v>0.39999999999999997</v>
      </c>
      <c r="N442" s="113">
        <f t="shared" si="111"/>
        <v>0.39999999999999997</v>
      </c>
      <c r="O442" s="113">
        <f t="shared" si="111"/>
        <v>0.39999999999999997</v>
      </c>
      <c r="P442" s="113">
        <f t="shared" si="111"/>
        <v>0.39999999999999997</v>
      </c>
      <c r="Q442" s="113">
        <f t="shared" si="111"/>
        <v>0.39999999999999997</v>
      </c>
      <c r="R442" s="114">
        <f>SUM(F442:Q442)</f>
        <v>4.897</v>
      </c>
      <c r="S442" s="180">
        <f>R442/12</f>
        <v>0.40808333333333335</v>
      </c>
      <c r="T442" s="114">
        <f>MAX(F443:Q443)</f>
        <v>0</v>
      </c>
    </row>
    <row r="443" spans="4:20" ht="15.75">
      <c r="D443" s="136" t="s">
        <v>685</v>
      </c>
      <c r="E443" s="109"/>
      <c r="F443" s="169"/>
      <c r="G443" s="169"/>
      <c r="H443" s="169"/>
      <c r="I443" s="169"/>
      <c r="J443" s="169"/>
      <c r="K443" s="169"/>
      <c r="L443" s="169"/>
      <c r="M443" s="169"/>
      <c r="N443" s="169"/>
      <c r="O443" s="169"/>
      <c r="P443" s="169"/>
      <c r="Q443" s="169"/>
      <c r="R443" s="114">
        <f>SUM(F443:Q443)</f>
        <v>0</v>
      </c>
      <c r="S443" s="180">
        <f>R443/12</f>
        <v>0</v>
      </c>
      <c r="T443" s="112">
        <f>MAX(F441:Q441)</f>
        <v>0.596</v>
      </c>
    </row>
    <row r="444" spans="2:20" ht="47.25">
      <c r="B444" s="108" t="s">
        <v>608</v>
      </c>
      <c r="D444" s="136"/>
      <c r="E444" s="109"/>
      <c r="F444" s="113"/>
      <c r="G444" s="113"/>
      <c r="H444" s="113"/>
      <c r="I444" s="113"/>
      <c r="J444" s="113"/>
      <c r="K444" s="113"/>
      <c r="L444" s="113"/>
      <c r="M444" s="113"/>
      <c r="N444" s="113"/>
      <c r="O444" s="113"/>
      <c r="P444" s="113"/>
      <c r="Q444" s="113"/>
      <c r="R444" s="114"/>
      <c r="S444" s="180"/>
      <c r="T444" s="116"/>
    </row>
    <row r="445" spans="2:20" ht="15.75">
      <c r="B445" s="108" t="s">
        <v>428</v>
      </c>
      <c r="D445" s="136" t="s">
        <v>562</v>
      </c>
      <c r="E445" s="109" t="s">
        <v>367</v>
      </c>
      <c r="F445" s="113">
        <f>F441+F437++F427+F422+F418+F414++F410+F406+F402+F398+F394+F390+F432</f>
        <v>111.89900000000002</v>
      </c>
      <c r="G445" s="113">
        <f aca="true" t="shared" si="112" ref="G445:Q445">G441+G437++G427+G422+G418+G414++G410+G406+G402+G398+G394+G390+G432</f>
        <v>55.39699999999999</v>
      </c>
      <c r="H445" s="113">
        <f t="shared" si="112"/>
        <v>48.52</v>
      </c>
      <c r="I445" s="113">
        <f t="shared" si="112"/>
        <v>79.25599999999999</v>
      </c>
      <c r="J445" s="113">
        <f t="shared" si="112"/>
        <v>30.783</v>
      </c>
      <c r="K445" s="113">
        <f t="shared" si="112"/>
        <v>36.762</v>
      </c>
      <c r="L445" s="113">
        <f t="shared" si="112"/>
        <v>35.943999999999996</v>
      </c>
      <c r="M445" s="113">
        <f t="shared" si="112"/>
        <v>47.373000000000005</v>
      </c>
      <c r="N445" s="113">
        <f t="shared" si="112"/>
        <v>51.44200000000001</v>
      </c>
      <c r="O445" s="113">
        <f t="shared" si="112"/>
        <v>41.855999999999995</v>
      </c>
      <c r="P445" s="113">
        <f t="shared" si="112"/>
        <v>31.092000000000002</v>
      </c>
      <c r="Q445" s="113">
        <f t="shared" si="112"/>
        <v>38.333</v>
      </c>
      <c r="R445" s="149">
        <f>SUM(F445:Q445)</f>
        <v>608.6569999999999</v>
      </c>
      <c r="S445" s="161">
        <f>R445/12</f>
        <v>50.72141666666666</v>
      </c>
      <c r="T445" s="145">
        <f>MAX(F445:Q445)</f>
        <v>111.89900000000002</v>
      </c>
    </row>
    <row r="446" spans="2:20" ht="15.75">
      <c r="B446" s="108"/>
      <c r="D446" s="136" t="s">
        <v>563</v>
      </c>
      <c r="E446" s="109"/>
      <c r="F446" s="113">
        <f aca="true" t="shared" si="113" ref="F446:Q447">F442+F438++F428+F423+F419+F415++F411+F407+F403+F399+F395+F391+F433</f>
        <v>42.683</v>
      </c>
      <c r="G446" s="113">
        <f t="shared" si="113"/>
        <v>37.913</v>
      </c>
      <c r="H446" s="113">
        <f t="shared" si="113"/>
        <v>34.35699999999999</v>
      </c>
      <c r="I446" s="113">
        <f t="shared" si="113"/>
        <v>28.467999999999996</v>
      </c>
      <c r="J446" s="113">
        <f t="shared" si="113"/>
        <v>61.608999999999995</v>
      </c>
      <c r="K446" s="113">
        <f t="shared" si="113"/>
        <v>26.241</v>
      </c>
      <c r="L446" s="113">
        <f t="shared" si="113"/>
        <v>38.956</v>
      </c>
      <c r="M446" s="113">
        <f t="shared" si="113"/>
        <v>38.956</v>
      </c>
      <c r="N446" s="113">
        <f t="shared" si="113"/>
        <v>38.956</v>
      </c>
      <c r="O446" s="113">
        <f t="shared" si="113"/>
        <v>38.956</v>
      </c>
      <c r="P446" s="113">
        <f t="shared" si="113"/>
        <v>38.956</v>
      </c>
      <c r="Q446" s="113">
        <f t="shared" si="113"/>
        <v>38.956</v>
      </c>
      <c r="R446" s="149">
        <f>SUM(F446:Q446)</f>
        <v>465.00700000000006</v>
      </c>
      <c r="S446" s="173">
        <f>R446/12</f>
        <v>38.75058333333334</v>
      </c>
      <c r="T446" s="149">
        <f>MAX(F446:Q446)</f>
        <v>61.608999999999995</v>
      </c>
    </row>
    <row r="447" spans="2:20" ht="15.75">
      <c r="B447" s="108"/>
      <c r="D447" s="136" t="s">
        <v>685</v>
      </c>
      <c r="E447" s="109"/>
      <c r="F447" s="113">
        <f t="shared" si="113"/>
        <v>0</v>
      </c>
      <c r="G447" s="113">
        <f t="shared" si="113"/>
        <v>0</v>
      </c>
      <c r="H447" s="113">
        <f t="shared" si="113"/>
        <v>0</v>
      </c>
      <c r="I447" s="113">
        <f t="shared" si="113"/>
        <v>0</v>
      </c>
      <c r="J447" s="113">
        <f t="shared" si="113"/>
        <v>0</v>
      </c>
      <c r="K447" s="113">
        <f t="shared" si="113"/>
        <v>0</v>
      </c>
      <c r="L447" s="113">
        <f t="shared" si="113"/>
        <v>0</v>
      </c>
      <c r="M447" s="113">
        <f t="shared" si="113"/>
        <v>0</v>
      </c>
      <c r="N447" s="113">
        <f t="shared" si="113"/>
        <v>0</v>
      </c>
      <c r="O447" s="113">
        <f t="shared" si="113"/>
        <v>0</v>
      </c>
      <c r="P447" s="113">
        <f t="shared" si="113"/>
        <v>0</v>
      </c>
      <c r="Q447" s="113">
        <f t="shared" si="113"/>
        <v>0</v>
      </c>
      <c r="R447" s="149">
        <f>SUM(F447:Q447)</f>
        <v>0</v>
      </c>
      <c r="S447" s="173">
        <f>R447/12</f>
        <v>0</v>
      </c>
      <c r="T447" s="149">
        <f>MAX(F447:Q447)</f>
        <v>0</v>
      </c>
    </row>
    <row r="448" spans="2:20" ht="15.75">
      <c r="B448" s="108"/>
      <c r="D448" s="136"/>
      <c r="E448" s="109"/>
      <c r="F448" s="113"/>
      <c r="G448" s="113"/>
      <c r="H448" s="113"/>
      <c r="I448" s="113"/>
      <c r="J448" s="113"/>
      <c r="K448" s="113"/>
      <c r="L448" s="113"/>
      <c r="M448" s="113"/>
      <c r="N448" s="113"/>
      <c r="O448" s="113"/>
      <c r="P448" s="113"/>
      <c r="Q448" s="113"/>
      <c r="R448" s="114"/>
      <c r="S448" s="180"/>
      <c r="T448" s="116"/>
    </row>
    <row r="449" spans="2:20" ht="47.25">
      <c r="B449" s="108" t="s">
        <v>354</v>
      </c>
      <c r="D449" s="139"/>
      <c r="E449" s="123"/>
      <c r="F449" s="113"/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  <c r="R449" s="114"/>
      <c r="S449" s="180"/>
      <c r="T449" s="116"/>
    </row>
    <row r="450" spans="2:20" ht="31.5">
      <c r="B450" s="108" t="s">
        <v>355</v>
      </c>
      <c r="D450" s="139"/>
      <c r="E450" s="123"/>
      <c r="F450" s="113"/>
      <c r="G450" s="113"/>
      <c r="H450" s="113"/>
      <c r="I450" s="113"/>
      <c r="J450" s="113"/>
      <c r="K450" s="113"/>
      <c r="L450" s="113"/>
      <c r="M450" s="113"/>
      <c r="N450" s="113"/>
      <c r="O450" s="113"/>
      <c r="P450" s="113"/>
      <c r="Q450" s="113"/>
      <c r="R450" s="114"/>
      <c r="S450" s="180"/>
      <c r="T450" s="116"/>
    </row>
    <row r="451" spans="2:20" ht="15.75">
      <c r="B451" s="108" t="s">
        <v>577</v>
      </c>
      <c r="D451" s="139"/>
      <c r="E451" s="123"/>
      <c r="F451" s="113"/>
      <c r="G451" s="113"/>
      <c r="H451" s="113"/>
      <c r="I451" s="113"/>
      <c r="J451" s="113"/>
      <c r="K451" s="113"/>
      <c r="L451" s="113"/>
      <c r="M451" s="113"/>
      <c r="N451" s="113"/>
      <c r="O451" s="113"/>
      <c r="P451" s="113"/>
      <c r="Q451" s="113"/>
      <c r="R451" s="114"/>
      <c r="S451" s="180"/>
      <c r="T451" s="116"/>
    </row>
    <row r="452" spans="2:20" ht="15.75">
      <c r="B452" s="108" t="s">
        <v>428</v>
      </c>
      <c r="D452" s="139"/>
      <c r="E452" s="125"/>
      <c r="F452" s="113"/>
      <c r="G452" s="113"/>
      <c r="H452" s="113"/>
      <c r="I452" s="113"/>
      <c r="J452" s="113"/>
      <c r="K452" s="113"/>
      <c r="L452" s="113"/>
      <c r="M452" s="113"/>
      <c r="N452" s="113"/>
      <c r="O452" s="113"/>
      <c r="P452" s="113"/>
      <c r="Q452" s="113"/>
      <c r="R452" s="114"/>
      <c r="S452" s="180"/>
      <c r="T452" s="116"/>
    </row>
    <row r="453" spans="2:20" ht="15.75">
      <c r="B453" s="61"/>
      <c r="D453" s="136" t="s">
        <v>562</v>
      </c>
      <c r="E453" s="109" t="s">
        <v>367</v>
      </c>
      <c r="F453" s="113">
        <v>0.043</v>
      </c>
      <c r="G453" s="113">
        <v>0.139</v>
      </c>
      <c r="H453" s="113">
        <v>0.2</v>
      </c>
      <c r="I453" s="113">
        <v>0.767</v>
      </c>
      <c r="J453" s="113">
        <v>0.872</v>
      </c>
      <c r="K453" s="113">
        <v>1.901</v>
      </c>
      <c r="L453" s="113">
        <v>3.211</v>
      </c>
      <c r="M453" s="113">
        <v>0.03</v>
      </c>
      <c r="N453" s="113">
        <v>0.389</v>
      </c>
      <c r="O453" s="113">
        <v>4.104</v>
      </c>
      <c r="P453" s="113">
        <v>2.787</v>
      </c>
      <c r="Q453" s="113">
        <v>1.902</v>
      </c>
      <c r="R453" s="114">
        <f>SUM(F453:Q453)</f>
        <v>16.345</v>
      </c>
      <c r="S453" s="180">
        <f>R453/12</f>
        <v>1.3620833333333333</v>
      </c>
      <c r="T453" s="112">
        <f>MAX(F453:Q453)</f>
        <v>4.104</v>
      </c>
    </row>
    <row r="454" spans="2:20" ht="15.75">
      <c r="B454" s="129"/>
      <c r="D454" s="136" t="s">
        <v>563</v>
      </c>
      <c r="E454" s="109"/>
      <c r="F454" s="113">
        <v>1.183</v>
      </c>
      <c r="G454" s="113">
        <v>1.028</v>
      </c>
      <c r="H454" s="113">
        <v>0.034</v>
      </c>
      <c r="I454" s="113">
        <v>2.294</v>
      </c>
      <c r="J454" s="113">
        <v>0.988</v>
      </c>
      <c r="K454" s="113">
        <v>1.639</v>
      </c>
      <c r="L454" s="113">
        <f aca="true" t="shared" si="114" ref="L454:Q454">7.17/6</f>
        <v>1.195</v>
      </c>
      <c r="M454" s="113">
        <f t="shared" si="114"/>
        <v>1.195</v>
      </c>
      <c r="N454" s="113">
        <f t="shared" si="114"/>
        <v>1.195</v>
      </c>
      <c r="O454" s="113">
        <f t="shared" si="114"/>
        <v>1.195</v>
      </c>
      <c r="P454" s="113">
        <f t="shared" si="114"/>
        <v>1.195</v>
      </c>
      <c r="Q454" s="113">
        <f t="shared" si="114"/>
        <v>1.195</v>
      </c>
      <c r="R454" s="114">
        <f>SUM(F454:Q454)</f>
        <v>14.336</v>
      </c>
      <c r="S454" s="180">
        <f>R454/12</f>
        <v>1.1946666666666668</v>
      </c>
      <c r="T454" s="114">
        <f>MAX(F454:Q454)</f>
        <v>2.294</v>
      </c>
    </row>
    <row r="455" spans="2:20" ht="15.75">
      <c r="B455" s="133"/>
      <c r="D455" s="136" t="s">
        <v>685</v>
      </c>
      <c r="E455" s="109"/>
      <c r="F455" s="169"/>
      <c r="G455" s="169"/>
      <c r="H455" s="169"/>
      <c r="I455" s="169"/>
      <c r="J455" s="169"/>
      <c r="K455" s="169"/>
      <c r="L455" s="169"/>
      <c r="M455" s="169"/>
      <c r="N455" s="169"/>
      <c r="O455" s="169"/>
      <c r="P455" s="169"/>
      <c r="Q455" s="169"/>
      <c r="R455" s="114">
        <f>SUM(F455:Q455)</f>
        <v>0</v>
      </c>
      <c r="S455" s="180">
        <f>R455/12</f>
        <v>0</v>
      </c>
      <c r="T455" s="114">
        <f>MAX(F455:Q455)</f>
        <v>0</v>
      </c>
    </row>
    <row r="456" spans="2:20" ht="15.75">
      <c r="B456" s="108" t="s">
        <v>578</v>
      </c>
      <c r="D456" s="139"/>
      <c r="E456" s="127"/>
      <c r="F456" s="113"/>
      <c r="G456" s="113"/>
      <c r="H456" s="113"/>
      <c r="I456" s="113"/>
      <c r="J456" s="113"/>
      <c r="K456" s="113"/>
      <c r="L456" s="113"/>
      <c r="M456" s="113"/>
      <c r="N456" s="113"/>
      <c r="O456" s="113"/>
      <c r="P456" s="113"/>
      <c r="Q456" s="113"/>
      <c r="R456" s="114"/>
      <c r="S456" s="180"/>
      <c r="T456" s="116"/>
    </row>
    <row r="457" spans="2:20" ht="15.75">
      <c r="B457" s="108" t="s">
        <v>428</v>
      </c>
      <c r="D457" s="136" t="s">
        <v>562</v>
      </c>
      <c r="E457" s="109" t="s">
        <v>367</v>
      </c>
      <c r="F457" s="113">
        <v>11.855</v>
      </c>
      <c r="G457" s="113"/>
      <c r="H457" s="113">
        <v>3.2</v>
      </c>
      <c r="I457" s="113">
        <v>0.857</v>
      </c>
      <c r="J457" s="113">
        <v>3.44</v>
      </c>
      <c r="K457" s="113">
        <v>1.454</v>
      </c>
      <c r="L457" s="113">
        <v>2.409</v>
      </c>
      <c r="M457" s="113">
        <v>2.742</v>
      </c>
      <c r="N457" s="113">
        <v>2.239</v>
      </c>
      <c r="O457" s="113">
        <v>2.672</v>
      </c>
      <c r="P457" s="113">
        <v>2.101</v>
      </c>
      <c r="Q457" s="113">
        <v>2.09</v>
      </c>
      <c r="R457" s="114">
        <f>SUM(F457:Q457)</f>
        <v>35.059</v>
      </c>
      <c r="S457" s="180">
        <f>R457/12</f>
        <v>2.921583333333333</v>
      </c>
      <c r="T457" s="112">
        <f>MAX(F457:Q457)</f>
        <v>11.855</v>
      </c>
    </row>
    <row r="458" spans="2:20" ht="15.75">
      <c r="B458" s="129"/>
      <c r="D458" s="136" t="s">
        <v>563</v>
      </c>
      <c r="E458" s="109"/>
      <c r="F458" s="113">
        <v>1.925</v>
      </c>
      <c r="G458" s="113">
        <v>1.525</v>
      </c>
      <c r="H458" s="113">
        <v>1.549</v>
      </c>
      <c r="I458" s="113">
        <v>0.488</v>
      </c>
      <c r="J458" s="113">
        <v>4.381</v>
      </c>
      <c r="K458" s="113">
        <v>6.013</v>
      </c>
      <c r="L458" s="113">
        <f aca="true" t="shared" si="115" ref="L458:Q458">15.88/6</f>
        <v>2.646666666666667</v>
      </c>
      <c r="M458" s="113">
        <f t="shared" si="115"/>
        <v>2.646666666666667</v>
      </c>
      <c r="N458" s="113">
        <f t="shared" si="115"/>
        <v>2.646666666666667</v>
      </c>
      <c r="O458" s="113">
        <f t="shared" si="115"/>
        <v>2.646666666666667</v>
      </c>
      <c r="P458" s="113">
        <f t="shared" si="115"/>
        <v>2.646666666666667</v>
      </c>
      <c r="Q458" s="113">
        <f t="shared" si="115"/>
        <v>2.646666666666667</v>
      </c>
      <c r="R458" s="114">
        <f>SUM(F458:Q458)</f>
        <v>31.76100000000001</v>
      </c>
      <c r="S458" s="180">
        <f>R458/12</f>
        <v>2.646750000000001</v>
      </c>
      <c r="T458" s="114">
        <f>MAX(F458:Q458)</f>
        <v>6.013</v>
      </c>
    </row>
    <row r="459" spans="2:20" ht="15.75">
      <c r="B459" s="132"/>
      <c r="D459" s="136" t="s">
        <v>685</v>
      </c>
      <c r="E459" s="109"/>
      <c r="F459" s="169"/>
      <c r="G459" s="169"/>
      <c r="H459" s="169"/>
      <c r="I459" s="169"/>
      <c r="J459" s="169"/>
      <c r="K459" s="169"/>
      <c r="L459" s="169"/>
      <c r="M459" s="169"/>
      <c r="N459" s="169"/>
      <c r="O459" s="169"/>
      <c r="P459" s="169"/>
      <c r="Q459" s="169"/>
      <c r="R459" s="114">
        <f>SUM(F459:Q459)</f>
        <v>0</v>
      </c>
      <c r="S459" s="180">
        <f>R459/12</f>
        <v>0</v>
      </c>
      <c r="T459" s="114">
        <f>MAX(F459:Q459)</f>
        <v>0</v>
      </c>
    </row>
    <row r="460" spans="2:20" ht="15.75">
      <c r="B460" s="108" t="s">
        <v>579</v>
      </c>
      <c r="D460" s="139"/>
      <c r="E460" s="127"/>
      <c r="F460" s="113"/>
      <c r="G460" s="113"/>
      <c r="H460" s="113"/>
      <c r="I460" s="113"/>
      <c r="J460" s="113"/>
      <c r="K460" s="113"/>
      <c r="L460" s="113"/>
      <c r="M460" s="113"/>
      <c r="N460" s="113"/>
      <c r="O460" s="113"/>
      <c r="P460" s="113"/>
      <c r="Q460" s="113"/>
      <c r="R460" s="114"/>
      <c r="S460" s="180"/>
      <c r="T460" s="116"/>
    </row>
    <row r="461" spans="2:20" ht="15.75">
      <c r="B461" s="108" t="s">
        <v>25</v>
      </c>
      <c r="D461" s="136" t="s">
        <v>562</v>
      </c>
      <c r="E461" s="109" t="s">
        <v>367</v>
      </c>
      <c r="F461" s="113">
        <v>1.75</v>
      </c>
      <c r="G461" s="113">
        <v>1.527</v>
      </c>
      <c r="H461" s="63"/>
      <c r="I461" s="113">
        <v>0.607</v>
      </c>
      <c r="J461" s="113">
        <v>0.262</v>
      </c>
      <c r="K461" s="113">
        <v>0.442</v>
      </c>
      <c r="L461" s="113">
        <v>0.657</v>
      </c>
      <c r="M461" s="113">
        <v>0.248</v>
      </c>
      <c r="N461" s="113">
        <v>0.326</v>
      </c>
      <c r="O461" s="113">
        <v>0.11</v>
      </c>
      <c r="P461" s="113">
        <v>0.36</v>
      </c>
      <c r="Q461" s="113">
        <v>0.256</v>
      </c>
      <c r="R461" s="114">
        <f>SUM(F461:Q461)</f>
        <v>6.545000000000002</v>
      </c>
      <c r="S461" s="180">
        <f>R461/12</f>
        <v>0.5454166666666668</v>
      </c>
      <c r="T461" s="112">
        <f>MAX(F461:Q461)</f>
        <v>1.75</v>
      </c>
    </row>
    <row r="462" spans="2:20" ht="15.75">
      <c r="B462" s="129"/>
      <c r="D462" s="136" t="s">
        <v>563</v>
      </c>
      <c r="E462" s="109"/>
      <c r="F462" s="113">
        <v>0.349</v>
      </c>
      <c r="G462" s="113">
        <v>0.267</v>
      </c>
      <c r="H462" s="14">
        <v>0.079</v>
      </c>
      <c r="I462" s="113">
        <v>0</v>
      </c>
      <c r="J462" s="113">
        <v>0.117</v>
      </c>
      <c r="K462" s="113">
        <v>0.046</v>
      </c>
      <c r="L462" s="113">
        <f aca="true" t="shared" si="116" ref="L462:Q462">0.86/6</f>
        <v>0.14333333333333334</v>
      </c>
      <c r="M462" s="113">
        <f t="shared" si="116"/>
        <v>0.14333333333333334</v>
      </c>
      <c r="N462" s="113">
        <f t="shared" si="116"/>
        <v>0.14333333333333334</v>
      </c>
      <c r="O462" s="113">
        <f t="shared" si="116"/>
        <v>0.14333333333333334</v>
      </c>
      <c r="P462" s="113">
        <f t="shared" si="116"/>
        <v>0.14333333333333334</v>
      </c>
      <c r="Q462" s="113">
        <f t="shared" si="116"/>
        <v>0.14333333333333334</v>
      </c>
      <c r="R462" s="114">
        <f>SUM(F462:Q462)</f>
        <v>1.718</v>
      </c>
      <c r="S462" s="180">
        <f>R462/12</f>
        <v>0.14316666666666666</v>
      </c>
      <c r="T462" s="114">
        <f>MAX(F462:Q462)</f>
        <v>0.349</v>
      </c>
    </row>
    <row r="463" spans="2:20" ht="15.75">
      <c r="B463" s="133"/>
      <c r="D463" s="136" t="s">
        <v>685</v>
      </c>
      <c r="E463" s="109"/>
      <c r="F463" s="169"/>
      <c r="G463" s="169"/>
      <c r="H463" s="169"/>
      <c r="I463" s="169"/>
      <c r="J463" s="169"/>
      <c r="K463" s="169"/>
      <c r="L463" s="169"/>
      <c r="M463" s="169"/>
      <c r="N463" s="169"/>
      <c r="O463" s="169"/>
      <c r="P463" s="169"/>
      <c r="Q463" s="169"/>
      <c r="R463" s="114">
        <f>SUM(F463:Q463)</f>
        <v>0</v>
      </c>
      <c r="S463" s="180">
        <f>R463/12</f>
        <v>0</v>
      </c>
      <c r="T463" s="114">
        <f>MAX(F463:Q463)</f>
        <v>0</v>
      </c>
    </row>
    <row r="464" spans="2:20" ht="15.75">
      <c r="B464" s="133" t="s">
        <v>580</v>
      </c>
      <c r="D464" s="139"/>
      <c r="E464" s="127"/>
      <c r="F464" s="113"/>
      <c r="G464" s="113"/>
      <c r="H464" s="113"/>
      <c r="I464" s="113"/>
      <c r="J464" s="113"/>
      <c r="K464" s="113"/>
      <c r="L464" s="113"/>
      <c r="M464" s="113"/>
      <c r="N464" s="113"/>
      <c r="O464" s="113"/>
      <c r="P464" s="113"/>
      <c r="Q464" s="113"/>
      <c r="R464" s="114"/>
      <c r="S464" s="180"/>
      <c r="T464" s="116"/>
    </row>
    <row r="465" spans="2:20" ht="15.75">
      <c r="B465" s="108" t="s">
        <v>25</v>
      </c>
      <c r="D465" s="136" t="s">
        <v>562</v>
      </c>
      <c r="E465" s="109" t="s">
        <v>367</v>
      </c>
      <c r="F465" s="113">
        <v>0.919</v>
      </c>
      <c r="G465" s="113">
        <v>0.921</v>
      </c>
      <c r="H465" s="113">
        <v>1.006</v>
      </c>
      <c r="I465" s="113">
        <v>0.765</v>
      </c>
      <c r="J465" s="113">
        <v>1.001</v>
      </c>
      <c r="K465" s="113">
        <v>1.198</v>
      </c>
      <c r="L465" s="113">
        <v>0.24</v>
      </c>
      <c r="M465" s="113">
        <v>0.496</v>
      </c>
      <c r="N465" s="113">
        <v>0.345</v>
      </c>
      <c r="O465" s="113">
        <v>0.351</v>
      </c>
      <c r="P465" s="113">
        <v>0.226</v>
      </c>
      <c r="Q465" s="113">
        <v>0.155</v>
      </c>
      <c r="R465" s="114">
        <f>SUM(F465:Q465)</f>
        <v>7.623000000000001</v>
      </c>
      <c r="S465" s="180">
        <f>R465/12</f>
        <v>0.6352500000000001</v>
      </c>
      <c r="T465" s="112">
        <f>MAX(F465:Q465)</f>
        <v>1.198</v>
      </c>
    </row>
    <row r="466" spans="2:20" ht="15.75">
      <c r="B466" s="129"/>
      <c r="D466" s="136" t="s">
        <v>563</v>
      </c>
      <c r="E466" s="109"/>
      <c r="F466" s="113">
        <v>0.18</v>
      </c>
      <c r="G466" s="113">
        <v>0.213</v>
      </c>
      <c r="H466" s="113">
        <v>0.353</v>
      </c>
      <c r="I466" s="113">
        <v>0.725</v>
      </c>
      <c r="J466" s="113">
        <v>1.275</v>
      </c>
      <c r="K466" s="113">
        <v>0.278</v>
      </c>
      <c r="L466" s="113">
        <f aca="true" t="shared" si="117" ref="L466:Q466">3.02/6</f>
        <v>0.5033333333333333</v>
      </c>
      <c r="M466" s="113">
        <f t="shared" si="117"/>
        <v>0.5033333333333333</v>
      </c>
      <c r="N466" s="113">
        <f t="shared" si="117"/>
        <v>0.5033333333333333</v>
      </c>
      <c r="O466" s="113">
        <f t="shared" si="117"/>
        <v>0.5033333333333333</v>
      </c>
      <c r="P466" s="113">
        <f t="shared" si="117"/>
        <v>0.5033333333333333</v>
      </c>
      <c r="Q466" s="113">
        <f t="shared" si="117"/>
        <v>0.5033333333333333</v>
      </c>
      <c r="R466" s="114">
        <f>SUM(F466:Q466)</f>
        <v>6.043999999999999</v>
      </c>
      <c r="S466" s="180">
        <f>R466/12</f>
        <v>0.5036666666666666</v>
      </c>
      <c r="T466" s="114">
        <f>MAX(F466:Q466)</f>
        <v>1.275</v>
      </c>
    </row>
    <row r="467" spans="2:20" ht="15.75">
      <c r="B467" s="133"/>
      <c r="D467" s="136" t="s">
        <v>685</v>
      </c>
      <c r="E467" s="109"/>
      <c r="F467" s="169"/>
      <c r="G467" s="169"/>
      <c r="H467" s="169"/>
      <c r="I467" s="169"/>
      <c r="J467" s="169"/>
      <c r="K467" s="169"/>
      <c r="L467" s="169"/>
      <c r="M467" s="169"/>
      <c r="N467" s="169"/>
      <c r="O467" s="169"/>
      <c r="P467" s="169"/>
      <c r="Q467" s="169"/>
      <c r="R467" s="114">
        <f>SUM(F467:Q467)</f>
        <v>0</v>
      </c>
      <c r="S467" s="180">
        <f>R467/12</f>
        <v>0</v>
      </c>
      <c r="T467" s="114">
        <f>MAX(F467:Q467)</f>
        <v>0</v>
      </c>
    </row>
    <row r="468" spans="2:20" ht="15.75">
      <c r="B468" s="108" t="s">
        <v>581</v>
      </c>
      <c r="D468" s="139"/>
      <c r="E468" s="127"/>
      <c r="F468" s="113"/>
      <c r="G468" s="113"/>
      <c r="H468" s="113"/>
      <c r="I468" s="113"/>
      <c r="J468" s="113"/>
      <c r="K468" s="113"/>
      <c r="L468" s="113"/>
      <c r="M468" s="113"/>
      <c r="N468" s="113"/>
      <c r="O468" s="113"/>
      <c r="P468" s="113"/>
      <c r="Q468" s="113"/>
      <c r="R468" s="114"/>
      <c r="S468" s="180"/>
      <c r="T468" s="116"/>
    </row>
    <row r="469" spans="2:20" ht="15.75">
      <c r="B469" s="108" t="s">
        <v>25</v>
      </c>
      <c r="D469" s="136" t="s">
        <v>562</v>
      </c>
      <c r="E469" s="109" t="s">
        <v>367</v>
      </c>
      <c r="F469" s="113">
        <v>0.612</v>
      </c>
      <c r="G469" s="113">
        <v>0.168</v>
      </c>
      <c r="H469" s="113">
        <v>0.348</v>
      </c>
      <c r="I469" s="113">
        <v>0.017</v>
      </c>
      <c r="J469" s="113">
        <v>0.02</v>
      </c>
      <c r="K469" s="113">
        <v>0.002</v>
      </c>
      <c r="L469" s="113">
        <v>0.13</v>
      </c>
      <c r="M469" s="113">
        <v>0.038</v>
      </c>
      <c r="N469" s="113">
        <v>0.001</v>
      </c>
      <c r="O469" s="113">
        <v>0.108</v>
      </c>
      <c r="P469" s="113">
        <v>0.044</v>
      </c>
      <c r="Q469" s="113">
        <v>0.068</v>
      </c>
      <c r="R469" s="114">
        <f>SUM(F469:Q469)</f>
        <v>1.5560000000000003</v>
      </c>
      <c r="S469" s="180">
        <f>R469/12</f>
        <v>0.12966666666666668</v>
      </c>
      <c r="T469" s="112">
        <f>MAX(F469:Q469)</f>
        <v>0.612</v>
      </c>
    </row>
    <row r="470" spans="2:20" ht="15.75">
      <c r="B470" s="108"/>
      <c r="D470" s="136" t="s">
        <v>563</v>
      </c>
      <c r="E470" s="109"/>
      <c r="F470" s="113">
        <v>0.005</v>
      </c>
      <c r="G470" s="113">
        <v>0.023</v>
      </c>
      <c r="H470" s="113">
        <v>0</v>
      </c>
      <c r="I470" s="113">
        <v>0.001</v>
      </c>
      <c r="J470" s="113">
        <v>0.013</v>
      </c>
      <c r="K470" s="152">
        <v>0.002</v>
      </c>
      <c r="L470" s="113">
        <f aca="true" t="shared" si="118" ref="L470:Q470">0.04/6</f>
        <v>0.006666666666666667</v>
      </c>
      <c r="M470" s="113">
        <f t="shared" si="118"/>
        <v>0.006666666666666667</v>
      </c>
      <c r="N470" s="113">
        <f t="shared" si="118"/>
        <v>0.006666666666666667</v>
      </c>
      <c r="O470" s="113">
        <f t="shared" si="118"/>
        <v>0.006666666666666667</v>
      </c>
      <c r="P470" s="113">
        <f t="shared" si="118"/>
        <v>0.006666666666666667</v>
      </c>
      <c r="Q470" s="113">
        <f t="shared" si="118"/>
        <v>0.006666666666666667</v>
      </c>
      <c r="R470" s="114">
        <f>SUM(F470:Q470)</f>
        <v>0.084</v>
      </c>
      <c r="S470" s="180">
        <f>R470/12</f>
        <v>0.007</v>
      </c>
      <c r="T470" s="114">
        <f>MAX(F470:Q470)</f>
        <v>0.023</v>
      </c>
    </row>
    <row r="471" spans="2:20" ht="15.75">
      <c r="B471" s="133"/>
      <c r="D471" s="136" t="s">
        <v>685</v>
      </c>
      <c r="E471" s="109"/>
      <c r="F471" s="169"/>
      <c r="G471" s="169"/>
      <c r="H471" s="169"/>
      <c r="I471" s="169"/>
      <c r="J471" s="169"/>
      <c r="K471" s="169"/>
      <c r="L471" s="169"/>
      <c r="M471" s="169"/>
      <c r="N471" s="169"/>
      <c r="O471" s="169"/>
      <c r="P471" s="169"/>
      <c r="Q471" s="169"/>
      <c r="R471" s="114">
        <f>SUM(F471:Q471)</f>
        <v>0</v>
      </c>
      <c r="S471" s="180">
        <f>R471/12</f>
        <v>0</v>
      </c>
      <c r="T471" s="114">
        <f>MAX(F471:Q471)</f>
        <v>0</v>
      </c>
    </row>
    <row r="472" spans="2:20" ht="15.75">
      <c r="B472" s="133"/>
      <c r="D472" s="140"/>
      <c r="E472" s="123"/>
      <c r="F472" s="113"/>
      <c r="G472" s="113"/>
      <c r="H472" s="113"/>
      <c r="I472" s="113"/>
      <c r="J472" s="113"/>
      <c r="K472" s="113"/>
      <c r="L472" s="113"/>
      <c r="M472" s="113"/>
      <c r="N472" s="113"/>
      <c r="O472" s="113"/>
      <c r="P472" s="113"/>
      <c r="Q472" s="113"/>
      <c r="R472" s="114"/>
      <c r="S472" s="180"/>
      <c r="T472" s="114"/>
    </row>
    <row r="473" spans="2:20" ht="15.75">
      <c r="B473" s="108" t="s">
        <v>582</v>
      </c>
      <c r="D473" s="139"/>
      <c r="E473" s="127"/>
      <c r="F473" s="113"/>
      <c r="G473" s="113"/>
      <c r="H473" s="113"/>
      <c r="I473" s="113"/>
      <c r="J473" s="113"/>
      <c r="K473" s="113"/>
      <c r="L473" s="113"/>
      <c r="M473" s="113"/>
      <c r="N473" s="113"/>
      <c r="O473" s="113"/>
      <c r="P473" s="113"/>
      <c r="Q473" s="113"/>
      <c r="R473" s="114"/>
      <c r="S473" s="180"/>
      <c r="T473" s="116"/>
    </row>
    <row r="474" spans="2:20" ht="15.75">
      <c r="B474" s="108" t="s">
        <v>25</v>
      </c>
      <c r="D474" s="136" t="s">
        <v>562</v>
      </c>
      <c r="E474" s="109" t="s">
        <v>367</v>
      </c>
      <c r="F474" s="113">
        <v>0</v>
      </c>
      <c r="G474" s="113">
        <v>0</v>
      </c>
      <c r="H474" s="113">
        <v>0</v>
      </c>
      <c r="I474" s="113">
        <v>0</v>
      </c>
      <c r="J474" s="113">
        <v>0</v>
      </c>
      <c r="K474" s="113">
        <v>0.001</v>
      </c>
      <c r="L474" s="152">
        <v>0.001</v>
      </c>
      <c r="M474" s="113">
        <v>0.001</v>
      </c>
      <c r="N474" s="113">
        <v>0</v>
      </c>
      <c r="O474" s="113">
        <v>0</v>
      </c>
      <c r="P474" s="113">
        <v>0</v>
      </c>
      <c r="Q474" s="113">
        <v>0.001</v>
      </c>
      <c r="R474" s="114">
        <f>SUM(F474:Q474)</f>
        <v>0.004</v>
      </c>
      <c r="S474" s="180">
        <f>R474/12</f>
        <v>0.0003333333333333333</v>
      </c>
      <c r="T474" s="253">
        <f>MAX(F474:Q474)</f>
        <v>0.001</v>
      </c>
    </row>
    <row r="475" spans="2:20" ht="15.75">
      <c r="B475" s="108"/>
      <c r="D475" s="136" t="s">
        <v>563</v>
      </c>
      <c r="E475" s="109"/>
      <c r="F475" s="113">
        <v>0</v>
      </c>
      <c r="G475" s="113">
        <v>0</v>
      </c>
      <c r="H475" s="113">
        <v>0</v>
      </c>
      <c r="I475" s="113">
        <v>1.034</v>
      </c>
      <c r="J475" s="113">
        <v>2.405</v>
      </c>
      <c r="K475" s="113">
        <v>0.123</v>
      </c>
      <c r="L475" s="113">
        <f aca="true" t="shared" si="119" ref="L475:Q475">3.562/6</f>
        <v>0.5936666666666667</v>
      </c>
      <c r="M475" s="113">
        <f t="shared" si="119"/>
        <v>0.5936666666666667</v>
      </c>
      <c r="N475" s="113">
        <f t="shared" si="119"/>
        <v>0.5936666666666667</v>
      </c>
      <c r="O475" s="113">
        <f t="shared" si="119"/>
        <v>0.5936666666666667</v>
      </c>
      <c r="P475" s="113">
        <f t="shared" si="119"/>
        <v>0.5936666666666667</v>
      </c>
      <c r="Q475" s="113">
        <f t="shared" si="119"/>
        <v>0.5936666666666667</v>
      </c>
      <c r="R475" s="114">
        <f>SUM(F475:Q475)</f>
        <v>7.124</v>
      </c>
      <c r="S475" s="180">
        <f>R475/12</f>
        <v>0.5936666666666667</v>
      </c>
      <c r="T475" s="114">
        <f>MAX(F475:Q475)</f>
        <v>2.405</v>
      </c>
    </row>
    <row r="476" spans="2:20" ht="15.75">
      <c r="B476" s="133"/>
      <c r="D476" s="136" t="s">
        <v>685</v>
      </c>
      <c r="E476" s="109"/>
      <c r="F476" s="169"/>
      <c r="G476" s="169"/>
      <c r="H476" s="169"/>
      <c r="I476" s="169"/>
      <c r="J476" s="169"/>
      <c r="K476" s="169"/>
      <c r="L476" s="169"/>
      <c r="M476" s="169"/>
      <c r="N476" s="169"/>
      <c r="O476" s="169"/>
      <c r="P476" s="169"/>
      <c r="Q476" s="169"/>
      <c r="R476" s="114">
        <f>SUM(F476:Q476)</f>
        <v>0</v>
      </c>
      <c r="S476" s="180">
        <f>R476/12</f>
        <v>0</v>
      </c>
      <c r="T476" s="114">
        <f>MAX(F476:Q476)</f>
        <v>0</v>
      </c>
    </row>
    <row r="477" spans="2:20" ht="15.75">
      <c r="B477" s="108" t="s">
        <v>583</v>
      </c>
      <c r="D477" s="139"/>
      <c r="E477" s="127"/>
      <c r="F477" s="113"/>
      <c r="G477" s="113"/>
      <c r="H477" s="113"/>
      <c r="I477" s="113"/>
      <c r="J477" s="113"/>
      <c r="K477" s="113"/>
      <c r="L477" s="113"/>
      <c r="M477" s="113"/>
      <c r="N477" s="113"/>
      <c r="O477" s="113"/>
      <c r="P477" s="113"/>
      <c r="Q477" s="113"/>
      <c r="R477" s="114"/>
      <c r="S477" s="180"/>
      <c r="T477" s="116"/>
    </row>
    <row r="478" spans="2:20" ht="15.75">
      <c r="B478" s="108" t="s">
        <v>25</v>
      </c>
      <c r="D478" s="136" t="s">
        <v>562</v>
      </c>
      <c r="E478" s="109" t="s">
        <v>367</v>
      </c>
      <c r="F478" s="113">
        <v>6.88</v>
      </c>
      <c r="G478" s="113">
        <v>3.124</v>
      </c>
      <c r="H478" s="113">
        <v>1.592</v>
      </c>
      <c r="I478" s="113">
        <v>2.685</v>
      </c>
      <c r="J478" s="113">
        <v>4.753</v>
      </c>
      <c r="K478" s="113">
        <v>5.16</v>
      </c>
      <c r="L478" s="113">
        <v>3.9</v>
      </c>
      <c r="M478" s="113">
        <v>2.307</v>
      </c>
      <c r="N478" s="113">
        <v>2.649</v>
      </c>
      <c r="O478" s="113">
        <v>1.715</v>
      </c>
      <c r="P478" s="113">
        <v>1.043</v>
      </c>
      <c r="Q478" s="113">
        <v>1.743</v>
      </c>
      <c r="R478" s="114">
        <f>SUM(F478:Q478)</f>
        <v>37.551</v>
      </c>
      <c r="S478" s="180">
        <f>R478/12</f>
        <v>3.1292500000000003</v>
      </c>
      <c r="T478" s="114">
        <f>MAX(F478:Q478)</f>
        <v>6.88</v>
      </c>
    </row>
    <row r="479" spans="2:20" ht="15.75">
      <c r="B479" s="108"/>
      <c r="D479" s="136" t="s">
        <v>563</v>
      </c>
      <c r="E479" s="109"/>
      <c r="F479" s="113">
        <v>0.848</v>
      </c>
      <c r="G479" s="113">
        <v>1.73</v>
      </c>
      <c r="H479" s="113">
        <v>0.975</v>
      </c>
      <c r="I479" s="113">
        <v>2.65</v>
      </c>
      <c r="J479" s="113">
        <v>5.342</v>
      </c>
      <c r="K479" s="113">
        <v>3.171</v>
      </c>
      <c r="L479" s="113">
        <f aca="true" t="shared" si="120" ref="L479:Q479">14.72/6</f>
        <v>2.4533333333333336</v>
      </c>
      <c r="M479" s="113">
        <f t="shared" si="120"/>
        <v>2.4533333333333336</v>
      </c>
      <c r="N479" s="113">
        <f t="shared" si="120"/>
        <v>2.4533333333333336</v>
      </c>
      <c r="O479" s="113">
        <f t="shared" si="120"/>
        <v>2.4533333333333336</v>
      </c>
      <c r="P479" s="113">
        <f t="shared" si="120"/>
        <v>2.4533333333333336</v>
      </c>
      <c r="Q479" s="113">
        <f t="shared" si="120"/>
        <v>2.4533333333333336</v>
      </c>
      <c r="R479" s="114">
        <f>SUM(F479:Q479)</f>
        <v>29.435999999999996</v>
      </c>
      <c r="S479" s="180">
        <f>R479/12</f>
        <v>2.453</v>
      </c>
      <c r="T479" s="114">
        <f>MAX(F479:Q479)</f>
        <v>5.342</v>
      </c>
    </row>
    <row r="480" spans="2:20" ht="15.75">
      <c r="B480" s="133"/>
      <c r="D480" s="136" t="s">
        <v>685</v>
      </c>
      <c r="E480" s="109"/>
      <c r="F480" s="169"/>
      <c r="G480" s="169"/>
      <c r="H480" s="169"/>
      <c r="I480" s="169"/>
      <c r="J480" s="169"/>
      <c r="K480" s="169"/>
      <c r="L480" s="169"/>
      <c r="M480" s="169"/>
      <c r="N480" s="169"/>
      <c r="O480" s="169"/>
      <c r="P480" s="169"/>
      <c r="Q480" s="169"/>
      <c r="R480" s="114">
        <f>SUM(F480:Q480)</f>
        <v>0</v>
      </c>
      <c r="S480" s="180">
        <f>R480/12</f>
        <v>0</v>
      </c>
      <c r="T480" s="114">
        <f>MAX(F480:Q480)</f>
        <v>0</v>
      </c>
    </row>
    <row r="481" spans="2:20" ht="15.75">
      <c r="B481" s="108" t="s">
        <v>573</v>
      </c>
      <c r="D481" s="139"/>
      <c r="E481" s="127"/>
      <c r="F481" s="113"/>
      <c r="G481" s="113"/>
      <c r="H481" s="113"/>
      <c r="I481" s="113"/>
      <c r="J481" s="113"/>
      <c r="K481" s="113"/>
      <c r="L481" s="113"/>
      <c r="M481" s="113"/>
      <c r="N481" s="113"/>
      <c r="O481" s="113"/>
      <c r="P481" s="113"/>
      <c r="Q481" s="113"/>
      <c r="R481" s="114"/>
      <c r="S481" s="180"/>
      <c r="T481" s="116"/>
    </row>
    <row r="482" spans="2:20" ht="15.75">
      <c r="B482" s="108" t="s">
        <v>25</v>
      </c>
      <c r="D482" s="136" t="s">
        <v>562</v>
      </c>
      <c r="E482" s="109" t="s">
        <v>367</v>
      </c>
      <c r="F482" s="109"/>
      <c r="G482" s="113">
        <v>0</v>
      </c>
      <c r="H482" s="113">
        <v>0</v>
      </c>
      <c r="I482" s="113">
        <v>0</v>
      </c>
      <c r="J482" s="113">
        <v>0</v>
      </c>
      <c r="K482" s="113">
        <v>0</v>
      </c>
      <c r="L482" s="113">
        <v>0</v>
      </c>
      <c r="M482" s="113"/>
      <c r="N482" s="113">
        <v>0</v>
      </c>
      <c r="O482" s="113">
        <v>0</v>
      </c>
      <c r="P482" s="113">
        <v>0</v>
      </c>
      <c r="Q482" s="113">
        <v>0</v>
      </c>
      <c r="R482" s="114">
        <f>SUM(F482:Q482)</f>
        <v>0</v>
      </c>
      <c r="S482" s="180">
        <f>R482/12</f>
        <v>0</v>
      </c>
      <c r="T482" s="112">
        <f>MAX(F482:Q482)</f>
        <v>0</v>
      </c>
    </row>
    <row r="483" spans="2:20" ht="15.75">
      <c r="B483" s="108"/>
      <c r="D483" s="136" t="s">
        <v>563</v>
      </c>
      <c r="E483" s="109"/>
      <c r="F483" s="113">
        <v>0</v>
      </c>
      <c r="G483" s="113">
        <v>0</v>
      </c>
      <c r="H483" s="113">
        <v>0</v>
      </c>
      <c r="I483" s="113">
        <v>0</v>
      </c>
      <c r="J483" s="113">
        <v>0</v>
      </c>
      <c r="K483" s="113">
        <v>0</v>
      </c>
      <c r="L483" s="169">
        <f>0</f>
        <v>0</v>
      </c>
      <c r="M483" s="169">
        <f>0</f>
        <v>0</v>
      </c>
      <c r="N483" s="169">
        <f>0</f>
        <v>0</v>
      </c>
      <c r="O483" s="169">
        <f>0</f>
        <v>0</v>
      </c>
      <c r="P483" s="169">
        <f>0</f>
        <v>0</v>
      </c>
      <c r="Q483" s="169">
        <f>0</f>
        <v>0</v>
      </c>
      <c r="R483" s="114">
        <f>SUM(F483:Q483)</f>
        <v>0</v>
      </c>
      <c r="S483" s="180">
        <f>R483/12</f>
        <v>0</v>
      </c>
      <c r="T483" s="114">
        <f>MAX(F483:Q483)</f>
        <v>0</v>
      </c>
    </row>
    <row r="484" spans="2:20" ht="15.75">
      <c r="B484" s="133"/>
      <c r="D484" s="136" t="s">
        <v>685</v>
      </c>
      <c r="E484" s="109"/>
      <c r="F484" s="169"/>
      <c r="G484" s="169"/>
      <c r="H484" s="169"/>
      <c r="I484" s="169"/>
      <c r="J484" s="169"/>
      <c r="K484" s="169"/>
      <c r="L484" s="169"/>
      <c r="M484" s="169"/>
      <c r="N484" s="169"/>
      <c r="O484" s="169"/>
      <c r="P484" s="169"/>
      <c r="Q484" s="169"/>
      <c r="R484" s="114">
        <f>SUM(F484:Q484)</f>
        <v>0</v>
      </c>
      <c r="S484" s="180">
        <f>R484/12</f>
        <v>0</v>
      </c>
      <c r="T484" s="114">
        <f>MAX(F484:Q484)</f>
        <v>0</v>
      </c>
    </row>
    <row r="485" spans="2:20" ht="15.75">
      <c r="B485" s="171"/>
      <c r="D485" s="139"/>
      <c r="E485" s="127"/>
      <c r="F485" s="113"/>
      <c r="G485" s="113"/>
      <c r="H485" s="113"/>
      <c r="I485" s="113"/>
      <c r="J485" s="113"/>
      <c r="K485" s="113"/>
      <c r="L485" s="113"/>
      <c r="M485" s="113"/>
      <c r="N485" s="113"/>
      <c r="O485" s="113"/>
      <c r="P485" s="113"/>
      <c r="Q485" s="113"/>
      <c r="R485" s="114"/>
      <c r="S485" s="180"/>
      <c r="T485" s="116"/>
    </row>
    <row r="486" spans="2:20" ht="15.75">
      <c r="B486" s="133" t="s">
        <v>574</v>
      </c>
      <c r="D486" s="136" t="s">
        <v>562</v>
      </c>
      <c r="E486" s="109" t="s">
        <v>367</v>
      </c>
      <c r="F486" s="113"/>
      <c r="G486" s="113"/>
      <c r="H486" s="113"/>
      <c r="I486" s="113"/>
      <c r="J486" s="113"/>
      <c r="K486" s="113"/>
      <c r="L486" s="113">
        <v>0</v>
      </c>
      <c r="M486" s="113">
        <v>0</v>
      </c>
      <c r="N486" s="113">
        <v>0</v>
      </c>
      <c r="O486" s="113">
        <v>0</v>
      </c>
      <c r="P486" s="113">
        <v>0.361</v>
      </c>
      <c r="Q486" s="113">
        <v>0.674</v>
      </c>
      <c r="R486" s="114">
        <f>SUM(F486:Q486)</f>
        <v>1.0350000000000001</v>
      </c>
      <c r="S486" s="180">
        <f>R486/12</f>
        <v>0.08625000000000001</v>
      </c>
      <c r="T486" s="112">
        <f>MAX(F486:Q486)</f>
        <v>0.674</v>
      </c>
    </row>
    <row r="487" spans="2:20" ht="15.75">
      <c r="B487" s="108" t="s">
        <v>25</v>
      </c>
      <c r="D487" s="136" t="s">
        <v>563</v>
      </c>
      <c r="E487" s="109"/>
      <c r="F487" s="113"/>
      <c r="G487" s="113"/>
      <c r="H487" s="113"/>
      <c r="I487" s="113"/>
      <c r="J487" s="113"/>
      <c r="K487" s="113"/>
      <c r="L487" s="169">
        <f>0</f>
        <v>0</v>
      </c>
      <c r="M487" s="169">
        <f>0</f>
        <v>0</v>
      </c>
      <c r="N487" s="169">
        <f>0</f>
        <v>0</v>
      </c>
      <c r="O487" s="169">
        <f>0</f>
        <v>0</v>
      </c>
      <c r="P487" s="169">
        <f>0</f>
        <v>0</v>
      </c>
      <c r="Q487" s="169">
        <f>0</f>
        <v>0</v>
      </c>
      <c r="R487" s="114">
        <f>SUM(F487:Q487)</f>
        <v>0</v>
      </c>
      <c r="S487" s="180">
        <f>R487/12</f>
        <v>0</v>
      </c>
      <c r="T487" s="114">
        <f>MAX(F487:Q487)</f>
        <v>0</v>
      </c>
    </row>
    <row r="488" spans="2:20" ht="15.75">
      <c r="B488" s="133"/>
      <c r="D488" s="136" t="s">
        <v>685</v>
      </c>
      <c r="E488" s="109"/>
      <c r="F488" s="169"/>
      <c r="G488" s="169"/>
      <c r="H488" s="169"/>
      <c r="I488" s="169"/>
      <c r="J488" s="169"/>
      <c r="K488" s="169"/>
      <c r="L488" s="169"/>
      <c r="M488" s="169"/>
      <c r="N488" s="169"/>
      <c r="O488" s="169"/>
      <c r="P488" s="169"/>
      <c r="Q488" s="169"/>
      <c r="R488" s="114">
        <f>SUM(F488:Q488)</f>
        <v>0</v>
      </c>
      <c r="S488" s="180">
        <f>R488/12</f>
        <v>0</v>
      </c>
      <c r="T488" s="114">
        <f>MAX(F488:Q488)</f>
        <v>0</v>
      </c>
    </row>
    <row r="489" spans="2:20" ht="15.75">
      <c r="B489" s="129"/>
      <c r="D489" s="139"/>
      <c r="E489" s="127"/>
      <c r="F489" s="113"/>
      <c r="G489" s="113"/>
      <c r="H489" s="113"/>
      <c r="I489" s="113"/>
      <c r="J489" s="113"/>
      <c r="K489" s="113"/>
      <c r="L489" s="113"/>
      <c r="M489" s="113"/>
      <c r="N489" s="113"/>
      <c r="O489" s="113"/>
      <c r="P489" s="113"/>
      <c r="Q489" s="113"/>
      <c r="R489" s="114"/>
      <c r="S489" s="180"/>
      <c r="T489" s="116"/>
    </row>
    <row r="490" spans="2:20" ht="15.75">
      <c r="B490" s="133" t="s">
        <v>584</v>
      </c>
      <c r="D490" s="136" t="s">
        <v>562</v>
      </c>
      <c r="E490" s="109" t="s">
        <v>367</v>
      </c>
      <c r="F490" s="113">
        <v>0</v>
      </c>
      <c r="G490" s="113">
        <v>0</v>
      </c>
      <c r="H490" s="113">
        <v>0</v>
      </c>
      <c r="I490" s="113">
        <v>0.312</v>
      </c>
      <c r="J490" s="113">
        <v>0.384</v>
      </c>
      <c r="K490" s="113">
        <v>0.473</v>
      </c>
      <c r="L490" s="113">
        <v>0.554</v>
      </c>
      <c r="M490" s="113">
        <v>0.55</v>
      </c>
      <c r="N490" s="113">
        <v>0.475</v>
      </c>
      <c r="O490" s="113">
        <v>1.488</v>
      </c>
      <c r="P490" s="113">
        <v>1.792</v>
      </c>
      <c r="Q490" s="113">
        <v>2.155</v>
      </c>
      <c r="R490" s="114">
        <f aca="true" t="shared" si="121" ref="R490:R512">SUM(F490:Q490)</f>
        <v>8.183</v>
      </c>
      <c r="S490" s="180">
        <f aca="true" t="shared" si="122" ref="S490:S512">R490/12</f>
        <v>0.6819166666666666</v>
      </c>
      <c r="T490" s="115">
        <f aca="true" t="shared" si="123" ref="T490:T512">MAX(F490:Q490)</f>
        <v>2.155</v>
      </c>
    </row>
    <row r="491" spans="2:20" ht="15.75">
      <c r="B491" s="108" t="s">
        <v>25</v>
      </c>
      <c r="D491" s="136" t="s">
        <v>563</v>
      </c>
      <c r="E491" s="109"/>
      <c r="F491" s="113">
        <v>0.749</v>
      </c>
      <c r="G491" s="113">
        <v>0.829</v>
      </c>
      <c r="H491" s="113">
        <v>0.917</v>
      </c>
      <c r="I491" s="113">
        <v>2.074</v>
      </c>
      <c r="J491" s="113">
        <v>1.838</v>
      </c>
      <c r="K491" s="113">
        <v>1.876</v>
      </c>
      <c r="L491" s="113">
        <f aca="true" t="shared" si="124" ref="L491:Q491">8.28/6</f>
        <v>1.38</v>
      </c>
      <c r="M491" s="113">
        <f t="shared" si="124"/>
        <v>1.38</v>
      </c>
      <c r="N491" s="113">
        <f t="shared" si="124"/>
        <v>1.38</v>
      </c>
      <c r="O491" s="113">
        <f t="shared" si="124"/>
        <v>1.38</v>
      </c>
      <c r="P491" s="113">
        <f t="shared" si="124"/>
        <v>1.38</v>
      </c>
      <c r="Q491" s="113">
        <f t="shared" si="124"/>
        <v>1.38</v>
      </c>
      <c r="R491" s="114">
        <f t="shared" si="121"/>
        <v>16.562999999999995</v>
      </c>
      <c r="S491" s="180">
        <f t="shared" si="122"/>
        <v>1.3802499999999995</v>
      </c>
      <c r="T491" s="114">
        <f t="shared" si="123"/>
        <v>2.074</v>
      </c>
    </row>
    <row r="492" spans="2:20" ht="15.75">
      <c r="B492" s="133"/>
      <c r="D492" s="136" t="s">
        <v>685</v>
      </c>
      <c r="E492" s="109"/>
      <c r="F492" s="169"/>
      <c r="G492" s="169"/>
      <c r="H492" s="169"/>
      <c r="I492" s="169"/>
      <c r="J492" s="169"/>
      <c r="K492" s="169"/>
      <c r="L492" s="169"/>
      <c r="M492" s="169"/>
      <c r="N492" s="169"/>
      <c r="O492" s="169"/>
      <c r="P492" s="169"/>
      <c r="Q492" s="169"/>
      <c r="R492" s="114">
        <f t="shared" si="121"/>
        <v>0</v>
      </c>
      <c r="S492" s="180">
        <f t="shared" si="122"/>
        <v>0</v>
      </c>
      <c r="T492" s="114">
        <f t="shared" si="123"/>
        <v>0</v>
      </c>
    </row>
    <row r="493" spans="2:20" ht="15.75">
      <c r="B493" s="133"/>
      <c r="D493" s="136"/>
      <c r="E493" s="109"/>
      <c r="F493" s="113"/>
      <c r="G493" s="113"/>
      <c r="H493" s="113"/>
      <c r="I493" s="113"/>
      <c r="J493" s="113"/>
      <c r="K493" s="113"/>
      <c r="L493" s="113"/>
      <c r="M493" s="113"/>
      <c r="N493" s="113"/>
      <c r="O493" s="113"/>
      <c r="P493" s="113"/>
      <c r="Q493" s="113"/>
      <c r="R493" s="114"/>
      <c r="S493" s="180"/>
      <c r="T493" s="114"/>
    </row>
    <row r="494" spans="2:20" ht="15.75">
      <c r="B494" s="133" t="s">
        <v>585</v>
      </c>
      <c r="D494" s="136" t="s">
        <v>562</v>
      </c>
      <c r="E494" s="109" t="s">
        <v>367</v>
      </c>
      <c r="F494" s="113">
        <v>0.855</v>
      </c>
      <c r="G494" s="113">
        <v>0.522</v>
      </c>
      <c r="H494" s="113">
        <v>1.333</v>
      </c>
      <c r="I494" s="113">
        <v>0.936</v>
      </c>
      <c r="J494" s="113">
        <v>0.694</v>
      </c>
      <c r="K494" s="113">
        <v>0.649</v>
      </c>
      <c r="L494" s="113">
        <v>1.133</v>
      </c>
      <c r="M494" s="113">
        <v>1.152</v>
      </c>
      <c r="N494" s="113">
        <v>0.826</v>
      </c>
      <c r="O494" s="113">
        <v>0.877</v>
      </c>
      <c r="P494" s="113">
        <v>0.882</v>
      </c>
      <c r="Q494" s="113">
        <v>1.384</v>
      </c>
      <c r="R494" s="114">
        <f t="shared" si="121"/>
        <v>11.243</v>
      </c>
      <c r="S494" s="180">
        <f t="shared" si="122"/>
        <v>0.9369166666666667</v>
      </c>
      <c r="T494" s="112">
        <f t="shared" si="123"/>
        <v>1.384</v>
      </c>
    </row>
    <row r="495" spans="2:20" ht="15.75">
      <c r="B495" s="108" t="s">
        <v>25</v>
      </c>
      <c r="D495" s="136" t="s">
        <v>563</v>
      </c>
      <c r="E495" s="109"/>
      <c r="F495" s="113">
        <v>0.295</v>
      </c>
      <c r="G495" s="113">
        <v>1.442</v>
      </c>
      <c r="H495" s="113">
        <v>0.702</v>
      </c>
      <c r="I495" s="113">
        <v>0.553</v>
      </c>
      <c r="J495" s="113">
        <v>0.588</v>
      </c>
      <c r="K495" s="113">
        <v>0.554</v>
      </c>
      <c r="L495" s="113">
        <f aca="true" t="shared" si="125" ref="L495:Q495">4.1326</f>
        <v>4.1326</v>
      </c>
      <c r="M495" s="113">
        <f t="shared" si="125"/>
        <v>4.1326</v>
      </c>
      <c r="N495" s="113">
        <f t="shared" si="125"/>
        <v>4.1326</v>
      </c>
      <c r="O495" s="113">
        <f t="shared" si="125"/>
        <v>4.1326</v>
      </c>
      <c r="P495" s="113">
        <f t="shared" si="125"/>
        <v>4.1326</v>
      </c>
      <c r="Q495" s="113">
        <f t="shared" si="125"/>
        <v>4.1326</v>
      </c>
      <c r="R495" s="114">
        <f t="shared" si="121"/>
        <v>28.9296</v>
      </c>
      <c r="S495" s="180">
        <f t="shared" si="122"/>
        <v>2.4108</v>
      </c>
      <c r="T495" s="114">
        <f t="shared" si="123"/>
        <v>4.1326</v>
      </c>
    </row>
    <row r="496" spans="2:20" ht="15.75">
      <c r="B496" s="133"/>
      <c r="D496" s="136" t="s">
        <v>685</v>
      </c>
      <c r="E496" s="109"/>
      <c r="F496" s="169"/>
      <c r="G496" s="169"/>
      <c r="H496" s="169"/>
      <c r="I496" s="169"/>
      <c r="J496" s="169"/>
      <c r="K496" s="169"/>
      <c r="L496" s="169"/>
      <c r="M496" s="169"/>
      <c r="N496" s="169"/>
      <c r="O496" s="169"/>
      <c r="P496" s="169"/>
      <c r="Q496" s="169"/>
      <c r="R496" s="114">
        <f t="shared" si="121"/>
        <v>0</v>
      </c>
      <c r="S496" s="180">
        <f t="shared" si="122"/>
        <v>0</v>
      </c>
      <c r="T496" s="114">
        <f t="shared" si="123"/>
        <v>0</v>
      </c>
    </row>
    <row r="497" spans="2:20" ht="15.75">
      <c r="B497" s="133"/>
      <c r="D497" s="136"/>
      <c r="E497" s="109"/>
      <c r="F497" s="113"/>
      <c r="G497" s="113"/>
      <c r="H497" s="113"/>
      <c r="I497" s="113"/>
      <c r="J497" s="113"/>
      <c r="K497" s="113"/>
      <c r="L497" s="113"/>
      <c r="M497" s="113"/>
      <c r="N497" s="113"/>
      <c r="O497" s="113"/>
      <c r="P497" s="113"/>
      <c r="Q497" s="113"/>
      <c r="R497" s="114"/>
      <c r="S497" s="180"/>
      <c r="T497" s="114"/>
    </row>
    <row r="498" spans="2:20" ht="15.75">
      <c r="B498" s="133" t="s">
        <v>586</v>
      </c>
      <c r="D498" s="136" t="s">
        <v>562</v>
      </c>
      <c r="E498" s="109" t="s">
        <v>367</v>
      </c>
      <c r="F498" s="113">
        <v>0.236</v>
      </c>
      <c r="G498" s="113">
        <v>0.47</v>
      </c>
      <c r="H498" s="113">
        <v>1.112</v>
      </c>
      <c r="I498" s="113">
        <v>0.704</v>
      </c>
      <c r="J498" s="113">
        <v>0.043</v>
      </c>
      <c r="K498" s="113">
        <v>0</v>
      </c>
      <c r="L498" s="113">
        <v>0.04</v>
      </c>
      <c r="M498" s="113">
        <v>0.009</v>
      </c>
      <c r="N498" s="113">
        <v>4.74</v>
      </c>
      <c r="O498" s="113">
        <v>0.373</v>
      </c>
      <c r="P498" s="113">
        <v>0.273</v>
      </c>
      <c r="Q498" s="113">
        <v>0.758</v>
      </c>
      <c r="R498" s="114">
        <f t="shared" si="121"/>
        <v>8.758000000000003</v>
      </c>
      <c r="S498" s="180">
        <f t="shared" si="122"/>
        <v>0.7298333333333336</v>
      </c>
      <c r="T498" s="112">
        <f t="shared" si="123"/>
        <v>4.74</v>
      </c>
    </row>
    <row r="499" spans="2:20" ht="15.75">
      <c r="B499" s="108" t="s">
        <v>25</v>
      </c>
      <c r="D499" s="136" t="s">
        <v>563</v>
      </c>
      <c r="E499" s="109"/>
      <c r="F499" s="113">
        <v>0.679</v>
      </c>
      <c r="G499" s="113">
        <v>0.068</v>
      </c>
      <c r="H499" s="113">
        <v>0.031</v>
      </c>
      <c r="I499" s="113">
        <v>0.049</v>
      </c>
      <c r="J499" s="113">
        <v>0.213</v>
      </c>
      <c r="K499" s="169">
        <v>0</v>
      </c>
      <c r="L499" s="113">
        <f aca="true" t="shared" si="126" ref="L499:Q499">1.04/6</f>
        <v>0.17333333333333334</v>
      </c>
      <c r="M499" s="113">
        <f t="shared" si="126"/>
        <v>0.17333333333333334</v>
      </c>
      <c r="N499" s="113">
        <f t="shared" si="126"/>
        <v>0.17333333333333334</v>
      </c>
      <c r="O499" s="113">
        <f t="shared" si="126"/>
        <v>0.17333333333333334</v>
      </c>
      <c r="P499" s="113">
        <f t="shared" si="126"/>
        <v>0.17333333333333334</v>
      </c>
      <c r="Q499" s="113">
        <f t="shared" si="126"/>
        <v>0.17333333333333334</v>
      </c>
      <c r="R499" s="114">
        <f t="shared" si="121"/>
        <v>2.08</v>
      </c>
      <c r="S499" s="180">
        <f t="shared" si="122"/>
        <v>0.17333333333333334</v>
      </c>
      <c r="T499" s="114">
        <f t="shared" si="123"/>
        <v>0.679</v>
      </c>
    </row>
    <row r="500" spans="2:20" ht="15.75">
      <c r="B500" s="133"/>
      <c r="D500" s="136" t="s">
        <v>685</v>
      </c>
      <c r="E500" s="109"/>
      <c r="F500" s="169"/>
      <c r="G500" s="169"/>
      <c r="H500" s="169"/>
      <c r="I500" s="169"/>
      <c r="J500" s="169"/>
      <c r="K500" s="169"/>
      <c r="L500" s="169"/>
      <c r="M500" s="169"/>
      <c r="N500" s="169"/>
      <c r="O500" s="169"/>
      <c r="P500" s="169"/>
      <c r="Q500" s="169"/>
      <c r="R500" s="114">
        <f t="shared" si="121"/>
        <v>0</v>
      </c>
      <c r="S500" s="180">
        <f t="shared" si="122"/>
        <v>0</v>
      </c>
      <c r="T500" s="112">
        <f t="shared" si="123"/>
        <v>0</v>
      </c>
    </row>
    <row r="501" spans="2:20" ht="21" customHeight="1">
      <c r="B501" s="133"/>
      <c r="D501" s="136"/>
      <c r="E501" s="109"/>
      <c r="F501" s="113"/>
      <c r="G501" s="113"/>
      <c r="H501" s="113"/>
      <c r="I501" s="113"/>
      <c r="J501" s="113"/>
      <c r="K501" s="113"/>
      <c r="L501" s="113"/>
      <c r="M501" s="113"/>
      <c r="N501" s="113"/>
      <c r="O501" s="113"/>
      <c r="P501" s="113"/>
      <c r="Q501" s="113"/>
      <c r="R501" s="114"/>
      <c r="S501" s="180"/>
      <c r="T501" s="112"/>
    </row>
    <row r="502" spans="2:20" ht="15.75">
      <c r="B502" s="108" t="s">
        <v>587</v>
      </c>
      <c r="D502" s="136" t="s">
        <v>562</v>
      </c>
      <c r="E502" s="109" t="s">
        <v>367</v>
      </c>
      <c r="F502" s="113">
        <v>0.111</v>
      </c>
      <c r="G502" s="113">
        <v>0.141</v>
      </c>
      <c r="H502" s="113">
        <v>0.181</v>
      </c>
      <c r="I502" s="113">
        <v>0.12</v>
      </c>
      <c r="J502" s="113">
        <v>0.093</v>
      </c>
      <c r="K502" s="113">
        <v>0.064</v>
      </c>
      <c r="L502" s="113">
        <v>0.058</v>
      </c>
      <c r="M502" s="113">
        <v>0</v>
      </c>
      <c r="N502" s="113">
        <v>0.286</v>
      </c>
      <c r="O502" s="113">
        <v>0.16</v>
      </c>
      <c r="P502" s="113">
        <v>0.189</v>
      </c>
      <c r="Q502" s="113">
        <v>0.261</v>
      </c>
      <c r="R502" s="114">
        <f t="shared" si="121"/>
        <v>1.6640000000000001</v>
      </c>
      <c r="S502" s="180">
        <f t="shared" si="122"/>
        <v>0.1386666666666667</v>
      </c>
      <c r="T502" s="112">
        <f t="shared" si="123"/>
        <v>0.286</v>
      </c>
    </row>
    <row r="503" spans="2:20" ht="15.75">
      <c r="B503" s="108" t="s">
        <v>25</v>
      </c>
      <c r="D503" s="136" t="s">
        <v>563</v>
      </c>
      <c r="E503" s="109"/>
      <c r="F503" s="113">
        <v>0.225</v>
      </c>
      <c r="G503" s="113">
        <v>0.282</v>
      </c>
      <c r="H503" s="113">
        <v>0.249</v>
      </c>
      <c r="I503" s="113">
        <v>0.165</v>
      </c>
      <c r="J503" s="113">
        <v>0.081</v>
      </c>
      <c r="K503" s="113">
        <v>0.063</v>
      </c>
      <c r="L503" s="113">
        <f aca="true" t="shared" si="127" ref="L503:Q503">1.064/6</f>
        <v>0.17733333333333334</v>
      </c>
      <c r="M503" s="113">
        <f t="shared" si="127"/>
        <v>0.17733333333333334</v>
      </c>
      <c r="N503" s="113">
        <f t="shared" si="127"/>
        <v>0.17733333333333334</v>
      </c>
      <c r="O503" s="113">
        <f t="shared" si="127"/>
        <v>0.17733333333333334</v>
      </c>
      <c r="P503" s="113">
        <f t="shared" si="127"/>
        <v>0.17733333333333334</v>
      </c>
      <c r="Q503" s="113">
        <f t="shared" si="127"/>
        <v>0.17733333333333334</v>
      </c>
      <c r="R503" s="114">
        <f t="shared" si="121"/>
        <v>2.129</v>
      </c>
      <c r="S503" s="180">
        <f t="shared" si="122"/>
        <v>0.17741666666666667</v>
      </c>
      <c r="T503" s="114">
        <f t="shared" si="123"/>
        <v>0.282</v>
      </c>
    </row>
    <row r="504" spans="2:20" ht="15.75">
      <c r="B504" s="133"/>
      <c r="D504" s="136" t="s">
        <v>685</v>
      </c>
      <c r="E504" s="109"/>
      <c r="F504" s="169"/>
      <c r="G504" s="169"/>
      <c r="H504" s="169"/>
      <c r="I504" s="169"/>
      <c r="J504" s="169"/>
      <c r="K504" s="169"/>
      <c r="L504" s="169"/>
      <c r="M504" s="169"/>
      <c r="N504" s="169"/>
      <c r="O504" s="169"/>
      <c r="P504" s="169"/>
      <c r="Q504" s="169"/>
      <c r="R504" s="114">
        <f t="shared" si="121"/>
        <v>0</v>
      </c>
      <c r="S504" s="180">
        <f t="shared" si="122"/>
        <v>0</v>
      </c>
      <c r="T504" s="114">
        <f t="shared" si="123"/>
        <v>0</v>
      </c>
    </row>
    <row r="505" spans="2:20" ht="21" customHeight="1">
      <c r="B505" s="133"/>
      <c r="D505" s="136"/>
      <c r="E505" s="109"/>
      <c r="F505" s="113"/>
      <c r="G505" s="113"/>
      <c r="H505" s="113"/>
      <c r="I505" s="113"/>
      <c r="J505" s="113"/>
      <c r="K505" s="113"/>
      <c r="L505" s="113"/>
      <c r="M505" s="113"/>
      <c r="N505" s="113"/>
      <c r="O505" s="113"/>
      <c r="P505" s="113"/>
      <c r="Q505" s="113"/>
      <c r="R505" s="114"/>
      <c r="S505" s="180"/>
      <c r="T505" s="114"/>
    </row>
    <row r="506" spans="2:20" ht="15.75">
      <c r="B506" s="108" t="s">
        <v>588</v>
      </c>
      <c r="D506" s="136" t="s">
        <v>562</v>
      </c>
      <c r="E506" s="109" t="s">
        <v>367</v>
      </c>
      <c r="F506" s="113">
        <v>1.405</v>
      </c>
      <c r="G506" s="113">
        <v>1.367</v>
      </c>
      <c r="H506" s="113">
        <v>1.123</v>
      </c>
      <c r="I506" s="113">
        <v>0.677</v>
      </c>
      <c r="J506" s="113">
        <v>0.552</v>
      </c>
      <c r="K506" s="113">
        <v>1.497</v>
      </c>
      <c r="L506" s="113">
        <v>0.935</v>
      </c>
      <c r="M506" s="113">
        <v>1.187</v>
      </c>
      <c r="N506" s="113">
        <v>1.111</v>
      </c>
      <c r="O506" s="113">
        <v>1.305</v>
      </c>
      <c r="P506" s="113">
        <v>1.095</v>
      </c>
      <c r="Q506" s="113">
        <v>1.595</v>
      </c>
      <c r="R506" s="114">
        <f t="shared" si="121"/>
        <v>13.849000000000002</v>
      </c>
      <c r="S506" s="180">
        <f t="shared" si="122"/>
        <v>1.1540833333333336</v>
      </c>
      <c r="T506" s="112">
        <f t="shared" si="123"/>
        <v>1.595</v>
      </c>
    </row>
    <row r="507" spans="2:20" ht="15.75">
      <c r="B507" s="108" t="s">
        <v>25</v>
      </c>
      <c r="D507" s="136" t="s">
        <v>563</v>
      </c>
      <c r="E507" s="109"/>
      <c r="F507" s="113">
        <v>1.558</v>
      </c>
      <c r="G507" s="113">
        <v>1.712</v>
      </c>
      <c r="H507" s="113">
        <v>1.331</v>
      </c>
      <c r="I507" s="113">
        <v>3.207</v>
      </c>
      <c r="J507" s="113">
        <v>2.206</v>
      </c>
      <c r="K507" s="113">
        <v>2.527</v>
      </c>
      <c r="L507" s="113">
        <f aca="true" t="shared" si="128" ref="L507:Q507">6.62/6</f>
        <v>1.1033333333333333</v>
      </c>
      <c r="M507" s="113">
        <f t="shared" si="128"/>
        <v>1.1033333333333333</v>
      </c>
      <c r="N507" s="113">
        <f t="shared" si="128"/>
        <v>1.1033333333333333</v>
      </c>
      <c r="O507" s="113">
        <f t="shared" si="128"/>
        <v>1.1033333333333333</v>
      </c>
      <c r="P507" s="113">
        <f t="shared" si="128"/>
        <v>1.1033333333333333</v>
      </c>
      <c r="Q507" s="113">
        <f t="shared" si="128"/>
        <v>1.1033333333333333</v>
      </c>
      <c r="R507" s="114">
        <f t="shared" si="121"/>
        <v>19.160999999999998</v>
      </c>
      <c r="S507" s="180">
        <f t="shared" si="122"/>
        <v>1.59675</v>
      </c>
      <c r="T507" s="114">
        <f t="shared" si="123"/>
        <v>3.207</v>
      </c>
    </row>
    <row r="508" spans="2:20" ht="15.75">
      <c r="B508" s="133"/>
      <c r="D508" s="136" t="s">
        <v>685</v>
      </c>
      <c r="E508" s="109"/>
      <c r="F508" s="169"/>
      <c r="G508" s="169"/>
      <c r="H508" s="169"/>
      <c r="I508" s="169"/>
      <c r="J508" s="169"/>
      <c r="K508" s="169"/>
      <c r="L508" s="169"/>
      <c r="M508" s="169"/>
      <c r="N508" s="169"/>
      <c r="O508" s="169"/>
      <c r="P508" s="169"/>
      <c r="Q508" s="169"/>
      <c r="R508" s="114">
        <f t="shared" si="121"/>
        <v>0</v>
      </c>
      <c r="S508" s="180">
        <f t="shared" si="122"/>
        <v>0</v>
      </c>
      <c r="T508" s="114">
        <f t="shared" si="123"/>
        <v>0</v>
      </c>
    </row>
    <row r="509" spans="2:20" ht="15.75">
      <c r="B509" s="133"/>
      <c r="D509" s="136"/>
      <c r="E509" s="109"/>
      <c r="F509" s="113"/>
      <c r="G509" s="113"/>
      <c r="H509" s="113"/>
      <c r="I509" s="113"/>
      <c r="J509" s="113"/>
      <c r="K509" s="113"/>
      <c r="L509" s="113"/>
      <c r="M509" s="113"/>
      <c r="N509" s="113"/>
      <c r="O509" s="113"/>
      <c r="P509" s="113"/>
      <c r="Q509" s="113"/>
      <c r="R509" s="114"/>
      <c r="S509" s="180"/>
      <c r="T509" s="114"/>
    </row>
    <row r="510" spans="2:20" ht="15.75">
      <c r="B510" s="108" t="s">
        <v>589</v>
      </c>
      <c r="D510" s="136" t="s">
        <v>562</v>
      </c>
      <c r="E510" s="109" t="s">
        <v>367</v>
      </c>
      <c r="F510" s="113">
        <v>1.073</v>
      </c>
      <c r="G510" s="113">
        <v>0</v>
      </c>
      <c r="H510" s="113">
        <v>0</v>
      </c>
      <c r="I510" s="113">
        <v>0.772</v>
      </c>
      <c r="J510" s="113">
        <v>0.018</v>
      </c>
      <c r="K510" s="113">
        <v>0.206</v>
      </c>
      <c r="L510" s="113">
        <v>0.041</v>
      </c>
      <c r="M510" s="113">
        <v>0.184</v>
      </c>
      <c r="N510" s="113">
        <v>0.201</v>
      </c>
      <c r="O510" s="113">
        <v>0.281</v>
      </c>
      <c r="P510" s="113">
        <v>0.129</v>
      </c>
      <c r="Q510" s="113">
        <v>0.348</v>
      </c>
      <c r="R510" s="114">
        <f t="shared" si="121"/>
        <v>3.253</v>
      </c>
      <c r="S510" s="180">
        <f t="shared" si="122"/>
        <v>0.27108333333333334</v>
      </c>
      <c r="T510" s="112">
        <f t="shared" si="123"/>
        <v>1.073</v>
      </c>
    </row>
    <row r="511" spans="2:20" ht="15.75">
      <c r="B511" s="108" t="s">
        <v>25</v>
      </c>
      <c r="D511" s="136" t="s">
        <v>563</v>
      </c>
      <c r="E511" s="109"/>
      <c r="F511" s="113">
        <v>0.206</v>
      </c>
      <c r="G511" s="113">
        <v>0.162</v>
      </c>
      <c r="H511" s="113">
        <v>0.224</v>
      </c>
      <c r="I511" s="113">
        <v>2.376</v>
      </c>
      <c r="J511" s="113">
        <v>1.736</v>
      </c>
      <c r="K511" s="113">
        <v>1.597</v>
      </c>
      <c r="L511" s="113">
        <f aca="true" t="shared" si="129" ref="L511:Q511">6.3/6</f>
        <v>1.05</v>
      </c>
      <c r="M511" s="113">
        <f t="shared" si="129"/>
        <v>1.05</v>
      </c>
      <c r="N511" s="113">
        <f t="shared" si="129"/>
        <v>1.05</v>
      </c>
      <c r="O511" s="113">
        <f t="shared" si="129"/>
        <v>1.05</v>
      </c>
      <c r="P511" s="113">
        <f t="shared" si="129"/>
        <v>1.05</v>
      </c>
      <c r="Q511" s="113">
        <f t="shared" si="129"/>
        <v>1.05</v>
      </c>
      <c r="R511" s="114">
        <f t="shared" si="121"/>
        <v>12.601000000000003</v>
      </c>
      <c r="S511" s="180">
        <f t="shared" si="122"/>
        <v>1.0500833333333335</v>
      </c>
      <c r="T511" s="114">
        <f t="shared" si="123"/>
        <v>2.376</v>
      </c>
    </row>
    <row r="512" spans="2:20" ht="15.75">
      <c r="B512" s="133"/>
      <c r="D512" s="136" t="s">
        <v>685</v>
      </c>
      <c r="E512" s="109"/>
      <c r="F512" s="169"/>
      <c r="G512" s="169"/>
      <c r="H512" s="169"/>
      <c r="I512" s="169"/>
      <c r="J512" s="169"/>
      <c r="K512" s="169"/>
      <c r="L512" s="169"/>
      <c r="M512" s="169"/>
      <c r="N512" s="169"/>
      <c r="O512" s="169"/>
      <c r="P512" s="169"/>
      <c r="Q512" s="169"/>
      <c r="R512" s="114">
        <f t="shared" si="121"/>
        <v>0</v>
      </c>
      <c r="S512" s="180">
        <f t="shared" si="122"/>
        <v>0</v>
      </c>
      <c r="T512" s="114">
        <f t="shared" si="123"/>
        <v>0</v>
      </c>
    </row>
    <row r="513" spans="2:20" ht="15.75">
      <c r="B513" s="171"/>
      <c r="D513" s="139"/>
      <c r="E513" s="125"/>
      <c r="F513" s="113"/>
      <c r="G513" s="113"/>
      <c r="H513" s="113"/>
      <c r="I513" s="113"/>
      <c r="J513" s="113"/>
      <c r="K513" s="113"/>
      <c r="L513" s="113"/>
      <c r="M513" s="113"/>
      <c r="N513" s="113"/>
      <c r="O513" s="113"/>
      <c r="P513" s="113"/>
      <c r="Q513" s="113"/>
      <c r="R513" s="114"/>
      <c r="S513" s="180"/>
      <c r="T513" s="111"/>
    </row>
    <row r="514" spans="2:22" ht="15.75">
      <c r="B514" s="133" t="s">
        <v>566</v>
      </c>
      <c r="D514" s="136" t="s">
        <v>562</v>
      </c>
      <c r="E514" s="109" t="s">
        <v>367</v>
      </c>
      <c r="F514" s="113">
        <v>0.041</v>
      </c>
      <c r="G514" s="113">
        <v>0</v>
      </c>
      <c r="H514" s="113">
        <v>0</v>
      </c>
      <c r="I514" s="113">
        <v>0</v>
      </c>
      <c r="J514" s="113">
        <v>0</v>
      </c>
      <c r="K514" s="113">
        <v>0</v>
      </c>
      <c r="L514" s="113">
        <v>0</v>
      </c>
      <c r="M514" s="113">
        <v>0</v>
      </c>
      <c r="N514" s="113">
        <v>0</v>
      </c>
      <c r="O514" s="113">
        <v>0</v>
      </c>
      <c r="P514" s="113">
        <v>0</v>
      </c>
      <c r="Q514" s="113">
        <v>0</v>
      </c>
      <c r="R514" s="114">
        <f>SUM(F514:Q514)</f>
        <v>0.041</v>
      </c>
      <c r="S514" s="180">
        <f>R514/12</f>
        <v>0.003416666666666667</v>
      </c>
      <c r="T514" s="112">
        <f>MAX(F514:Q514)</f>
        <v>0.041</v>
      </c>
      <c r="V514" s="172">
        <f>R514-K514</f>
        <v>0.041</v>
      </c>
    </row>
    <row r="515" spans="2:20" ht="15.75">
      <c r="B515" s="108" t="s">
        <v>25</v>
      </c>
      <c r="D515" s="136" t="s">
        <v>563</v>
      </c>
      <c r="E515" s="109"/>
      <c r="F515" s="113">
        <v>0</v>
      </c>
      <c r="G515" s="113">
        <v>0.031</v>
      </c>
      <c r="H515" s="113">
        <v>0.001</v>
      </c>
      <c r="I515" s="113">
        <v>0</v>
      </c>
      <c r="J515" s="113">
        <v>0</v>
      </c>
      <c r="K515" s="113">
        <v>0</v>
      </c>
      <c r="L515" s="113">
        <f aca="true" t="shared" si="130" ref="L515:Q515">0.03/6</f>
        <v>0.005</v>
      </c>
      <c r="M515" s="113">
        <f t="shared" si="130"/>
        <v>0.005</v>
      </c>
      <c r="N515" s="113">
        <f t="shared" si="130"/>
        <v>0.005</v>
      </c>
      <c r="O515" s="113">
        <f t="shared" si="130"/>
        <v>0.005</v>
      </c>
      <c r="P515" s="113">
        <f t="shared" si="130"/>
        <v>0.005</v>
      </c>
      <c r="Q515" s="113">
        <f t="shared" si="130"/>
        <v>0.005</v>
      </c>
      <c r="R515" s="114">
        <f>SUM(F515:Q515)</f>
        <v>0.061999999999999986</v>
      </c>
      <c r="S515" s="180">
        <f>R515/12</f>
        <v>0.005166666666666666</v>
      </c>
      <c r="T515" s="114">
        <f>MAX(F515:Q515)</f>
        <v>0.031</v>
      </c>
    </row>
    <row r="516" spans="4:20" ht="15.75">
      <c r="D516" s="136" t="s">
        <v>685</v>
      </c>
      <c r="E516" s="109"/>
      <c r="F516" s="169"/>
      <c r="G516" s="169"/>
      <c r="H516" s="169"/>
      <c r="I516" s="169"/>
      <c r="J516" s="169"/>
      <c r="K516" s="169"/>
      <c r="L516" s="169"/>
      <c r="M516" s="169"/>
      <c r="N516" s="169"/>
      <c r="O516" s="169"/>
      <c r="P516" s="169"/>
      <c r="Q516" s="169"/>
      <c r="R516" s="114">
        <f>SUM(F516:Q516)</f>
        <v>0</v>
      </c>
      <c r="S516" s="180">
        <f>R516/12</f>
        <v>0</v>
      </c>
      <c r="T516" s="114">
        <f>MAX(F516:Q516)</f>
        <v>0</v>
      </c>
    </row>
    <row r="517" spans="2:20" ht="15.75">
      <c r="B517" s="129"/>
      <c r="D517" s="136"/>
      <c r="E517" s="131"/>
      <c r="F517" s="113"/>
      <c r="G517" s="113"/>
      <c r="H517" s="113"/>
      <c r="I517" s="113"/>
      <c r="J517" s="113" t="s">
        <v>591</v>
      </c>
      <c r="K517" s="113"/>
      <c r="L517" s="113"/>
      <c r="M517" s="113"/>
      <c r="N517" s="113"/>
      <c r="O517" s="113"/>
      <c r="P517" s="113"/>
      <c r="Q517" s="113"/>
      <c r="R517" s="114"/>
      <c r="S517" s="180"/>
      <c r="T517" s="116"/>
    </row>
    <row r="518" spans="2:20" ht="15.75">
      <c r="B518" s="108" t="s">
        <v>592</v>
      </c>
      <c r="D518" s="136" t="s">
        <v>562</v>
      </c>
      <c r="E518" s="109" t="s">
        <v>367</v>
      </c>
      <c r="F518" s="113">
        <v>0.825</v>
      </c>
      <c r="G518" s="113">
        <v>0.578</v>
      </c>
      <c r="H518" s="113">
        <v>0.946</v>
      </c>
      <c r="I518" s="113">
        <v>0.448</v>
      </c>
      <c r="J518" s="113">
        <v>1.091</v>
      </c>
      <c r="K518" s="113">
        <v>0.882</v>
      </c>
      <c r="L518" s="113">
        <v>0.617</v>
      </c>
      <c r="M518" s="113">
        <v>1.209</v>
      </c>
      <c r="N518" s="113">
        <v>0.716</v>
      </c>
      <c r="O518" s="113">
        <v>0.863</v>
      </c>
      <c r="P518" s="113">
        <v>0.855</v>
      </c>
      <c r="Q518" s="113">
        <v>1.412</v>
      </c>
      <c r="R518" s="114">
        <f aca="true" t="shared" si="131" ref="R518:R524">SUM(F518:Q518)</f>
        <v>10.442</v>
      </c>
      <c r="S518" s="180">
        <f>R518/12</f>
        <v>0.8701666666666666</v>
      </c>
      <c r="T518" s="112">
        <f>MAX(F518:Q518)</f>
        <v>1.412</v>
      </c>
    </row>
    <row r="519" spans="2:20" ht="15.75">
      <c r="B519" s="108" t="s">
        <v>25</v>
      </c>
      <c r="D519" s="136" t="s">
        <v>563</v>
      </c>
      <c r="E519" s="109"/>
      <c r="F519" s="113">
        <v>0.755</v>
      </c>
      <c r="G519" s="113">
        <v>0.655</v>
      </c>
      <c r="H519" s="113">
        <v>0.741</v>
      </c>
      <c r="I519" s="113">
        <v>0.203</v>
      </c>
      <c r="J519" s="113">
        <v>0.207</v>
      </c>
      <c r="K519" s="113">
        <v>0.734</v>
      </c>
      <c r="L519" s="113">
        <f aca="true" t="shared" si="132" ref="L519:Q519">3.3/6</f>
        <v>0.5499999999999999</v>
      </c>
      <c r="M519" s="113">
        <f t="shared" si="132"/>
        <v>0.5499999999999999</v>
      </c>
      <c r="N519" s="113">
        <f t="shared" si="132"/>
        <v>0.5499999999999999</v>
      </c>
      <c r="O519" s="113">
        <f t="shared" si="132"/>
        <v>0.5499999999999999</v>
      </c>
      <c r="P519" s="113">
        <f t="shared" si="132"/>
        <v>0.5499999999999999</v>
      </c>
      <c r="Q519" s="113">
        <f t="shared" si="132"/>
        <v>0.5499999999999999</v>
      </c>
      <c r="R519" s="114">
        <f t="shared" si="131"/>
        <v>6.594999999999999</v>
      </c>
      <c r="S519" s="180">
        <f>R519/12</f>
        <v>0.5495833333333332</v>
      </c>
      <c r="T519" s="114">
        <f>MAX(F519:Q519)</f>
        <v>0.755</v>
      </c>
    </row>
    <row r="520" spans="2:20" ht="15.75">
      <c r="B520" s="133"/>
      <c r="D520" s="136" t="s">
        <v>685</v>
      </c>
      <c r="E520" s="109"/>
      <c r="F520" s="169"/>
      <c r="G520" s="169"/>
      <c r="H520" s="169"/>
      <c r="I520" s="169"/>
      <c r="J520" s="169"/>
      <c r="K520" s="169"/>
      <c r="L520" s="169"/>
      <c r="M520" s="169"/>
      <c r="N520" s="169"/>
      <c r="O520" s="169"/>
      <c r="P520" s="169"/>
      <c r="Q520" s="169"/>
      <c r="R520" s="114">
        <f t="shared" si="131"/>
        <v>0</v>
      </c>
      <c r="S520" s="180">
        <f>R520/12</f>
        <v>0</v>
      </c>
      <c r="T520" s="114">
        <f>MAX(F520:Q520)</f>
        <v>0</v>
      </c>
    </row>
    <row r="521" spans="2:20" ht="15.75">
      <c r="B521" s="108"/>
      <c r="D521" s="136"/>
      <c r="E521" s="109"/>
      <c r="F521" s="113"/>
      <c r="G521" s="113"/>
      <c r="H521" s="113"/>
      <c r="I521" s="113"/>
      <c r="J521" s="113"/>
      <c r="K521" s="113"/>
      <c r="L521" s="169"/>
      <c r="M521" s="169"/>
      <c r="N521" s="169"/>
      <c r="O521" s="169"/>
      <c r="P521" s="169"/>
      <c r="Q521" s="169"/>
      <c r="R521" s="114"/>
      <c r="S521" s="180"/>
      <c r="T521" s="114"/>
    </row>
    <row r="522" spans="2:20" ht="15.75">
      <c r="B522" s="108" t="s">
        <v>737</v>
      </c>
      <c r="D522" s="136" t="s">
        <v>562</v>
      </c>
      <c r="E522" s="109" t="s">
        <v>367</v>
      </c>
      <c r="F522" s="113"/>
      <c r="G522" s="113"/>
      <c r="H522" s="113">
        <v>0.178</v>
      </c>
      <c r="I522" s="113">
        <v>0</v>
      </c>
      <c r="J522" s="113">
        <v>0</v>
      </c>
      <c r="K522" s="113">
        <v>0.141</v>
      </c>
      <c r="L522" s="169"/>
      <c r="M522" s="169"/>
      <c r="N522" s="169"/>
      <c r="O522" s="169"/>
      <c r="P522" s="169"/>
      <c r="Q522" s="169"/>
      <c r="R522" s="114">
        <f t="shared" si="131"/>
        <v>0.31899999999999995</v>
      </c>
      <c r="S522" s="180">
        <f>R522/12</f>
        <v>0.02658333333333333</v>
      </c>
      <c r="T522" s="112">
        <f>MAX(F522:Q522)</f>
        <v>0.178</v>
      </c>
    </row>
    <row r="523" spans="2:20" ht="15.75">
      <c r="B523" s="108" t="s">
        <v>25</v>
      </c>
      <c r="D523" s="136" t="s">
        <v>563</v>
      </c>
      <c r="E523" s="109"/>
      <c r="F523" s="113">
        <v>0</v>
      </c>
      <c r="G523" s="113">
        <v>0</v>
      </c>
      <c r="H523" s="113">
        <v>0</v>
      </c>
      <c r="I523" s="113">
        <v>0</v>
      </c>
      <c r="J523" s="113"/>
      <c r="K523" s="113"/>
      <c r="L523" s="169"/>
      <c r="M523" s="169"/>
      <c r="N523" s="169"/>
      <c r="O523" s="169"/>
      <c r="P523" s="169"/>
      <c r="Q523" s="169"/>
      <c r="R523" s="114">
        <f t="shared" si="131"/>
        <v>0</v>
      </c>
      <c r="S523" s="180">
        <f>R523/12</f>
        <v>0</v>
      </c>
      <c r="T523" s="114">
        <f>MAX(F523:Q523)</f>
        <v>0</v>
      </c>
    </row>
    <row r="524" spans="2:20" ht="15.75">
      <c r="B524" s="108"/>
      <c r="D524" s="136" t="s">
        <v>685</v>
      </c>
      <c r="E524" s="109"/>
      <c r="F524" s="113"/>
      <c r="G524" s="113"/>
      <c r="H524" s="113"/>
      <c r="I524" s="113"/>
      <c r="J524" s="113"/>
      <c r="K524" s="113"/>
      <c r="L524" s="169"/>
      <c r="M524" s="169"/>
      <c r="N524" s="169"/>
      <c r="O524" s="169"/>
      <c r="P524" s="169"/>
      <c r="Q524" s="169"/>
      <c r="R524" s="114">
        <f t="shared" si="131"/>
        <v>0</v>
      </c>
      <c r="S524" s="180">
        <f>R524/12</f>
        <v>0</v>
      </c>
      <c r="T524" s="114">
        <f>MAX(F524:Q524)</f>
        <v>0</v>
      </c>
    </row>
    <row r="525" spans="2:20" ht="15.75">
      <c r="B525" s="108"/>
      <c r="D525" s="136"/>
      <c r="E525" s="109"/>
      <c r="F525" s="113"/>
      <c r="G525" s="113"/>
      <c r="H525" s="113"/>
      <c r="I525" s="113"/>
      <c r="J525" s="113"/>
      <c r="K525" s="113"/>
      <c r="L525" s="169"/>
      <c r="M525" s="169"/>
      <c r="N525" s="169"/>
      <c r="O525" s="169"/>
      <c r="P525" s="169"/>
      <c r="Q525" s="169"/>
      <c r="R525" s="114"/>
      <c r="S525" s="180"/>
      <c r="T525" s="114"/>
    </row>
    <row r="526" spans="2:20" ht="15.75">
      <c r="B526" s="108" t="s">
        <v>738</v>
      </c>
      <c r="D526" s="136" t="s">
        <v>562</v>
      </c>
      <c r="E526" s="109" t="s">
        <v>367</v>
      </c>
      <c r="F526" s="113">
        <v>0</v>
      </c>
      <c r="G526" s="113">
        <v>0</v>
      </c>
      <c r="H526" s="113">
        <v>0</v>
      </c>
      <c r="I526" s="113">
        <v>0.9</v>
      </c>
      <c r="J526" s="113">
        <v>1.495</v>
      </c>
      <c r="K526" s="113">
        <v>0.794</v>
      </c>
      <c r="L526" s="113">
        <v>1.024</v>
      </c>
      <c r="M526" s="113">
        <v>0.95</v>
      </c>
      <c r="N526" s="113">
        <v>1.366</v>
      </c>
      <c r="O526" s="113">
        <v>1.411</v>
      </c>
      <c r="P526" s="113">
        <v>0.967</v>
      </c>
      <c r="Q526" s="113">
        <v>1.249</v>
      </c>
      <c r="R526" s="114">
        <f>SUM(F526:Q526)</f>
        <v>10.156</v>
      </c>
      <c r="S526" s="180">
        <f>R526/12</f>
        <v>0.8463333333333334</v>
      </c>
      <c r="T526" s="112">
        <f>MAX(F526:Q526)</f>
        <v>1.495</v>
      </c>
    </row>
    <row r="527" spans="2:20" ht="15.75">
      <c r="B527" s="108" t="s">
        <v>25</v>
      </c>
      <c r="D527" s="136" t="s">
        <v>563</v>
      </c>
      <c r="E527" s="109"/>
      <c r="F527" s="113">
        <v>0.564</v>
      </c>
      <c r="G527" s="113">
        <v>1.044</v>
      </c>
      <c r="H527" s="113">
        <v>1.19</v>
      </c>
      <c r="I527" s="113">
        <v>0.926</v>
      </c>
      <c r="J527" s="113">
        <v>0.957</v>
      </c>
      <c r="K527" s="113">
        <v>1.047</v>
      </c>
      <c r="L527" s="113">
        <f aca="true" t="shared" si="133" ref="L527:Q527">5.73/6</f>
        <v>0.9550000000000001</v>
      </c>
      <c r="M527" s="113">
        <f t="shared" si="133"/>
        <v>0.9550000000000001</v>
      </c>
      <c r="N527" s="113">
        <f t="shared" si="133"/>
        <v>0.9550000000000001</v>
      </c>
      <c r="O527" s="113">
        <f t="shared" si="133"/>
        <v>0.9550000000000001</v>
      </c>
      <c r="P527" s="113">
        <f t="shared" si="133"/>
        <v>0.9550000000000001</v>
      </c>
      <c r="Q527" s="113">
        <f t="shared" si="133"/>
        <v>0.9550000000000001</v>
      </c>
      <c r="R527" s="114">
        <f>SUM(F527:Q527)</f>
        <v>11.458</v>
      </c>
      <c r="S527" s="180">
        <f>R527/12</f>
        <v>0.9548333333333333</v>
      </c>
      <c r="T527" s="114">
        <f>MAX(F527:Q527)</f>
        <v>1.19</v>
      </c>
    </row>
    <row r="528" spans="2:20" ht="15.75">
      <c r="B528" s="108"/>
      <c r="D528" s="136" t="s">
        <v>685</v>
      </c>
      <c r="E528" s="109"/>
      <c r="F528" s="113"/>
      <c r="G528" s="113"/>
      <c r="H528" s="113"/>
      <c r="I528" s="113"/>
      <c r="J528" s="113"/>
      <c r="K528" s="113"/>
      <c r="L528" s="169"/>
      <c r="M528" s="169"/>
      <c r="N528" s="169"/>
      <c r="O528" s="169"/>
      <c r="P528" s="169"/>
      <c r="Q528" s="169"/>
      <c r="R528" s="114">
        <f>SUM(F528:Q528)</f>
        <v>0</v>
      </c>
      <c r="S528" s="180">
        <f>R528/12</f>
        <v>0</v>
      </c>
      <c r="T528" s="114">
        <f>MAX(F528:Q528)</f>
        <v>0</v>
      </c>
    </row>
    <row r="529" spans="2:20" ht="15.75">
      <c r="B529" s="108"/>
      <c r="D529" s="136"/>
      <c r="E529" s="109"/>
      <c r="F529" s="113"/>
      <c r="G529" s="113"/>
      <c r="H529" s="113"/>
      <c r="I529" s="113"/>
      <c r="J529" s="113"/>
      <c r="K529" s="113"/>
      <c r="L529" s="169"/>
      <c r="M529" s="169"/>
      <c r="N529" s="169"/>
      <c r="O529" s="169"/>
      <c r="P529" s="169"/>
      <c r="Q529" s="169"/>
      <c r="R529" s="114"/>
      <c r="S529" s="180"/>
      <c r="T529" s="114"/>
    </row>
    <row r="530" spans="2:20" ht="15.75">
      <c r="B530" s="108"/>
      <c r="D530" s="136"/>
      <c r="E530" s="109"/>
      <c r="F530" s="113"/>
      <c r="G530" s="113"/>
      <c r="H530" s="113"/>
      <c r="I530" s="113"/>
      <c r="J530" s="113"/>
      <c r="K530" s="113"/>
      <c r="L530" s="169"/>
      <c r="M530" s="169"/>
      <c r="N530" s="169"/>
      <c r="O530" s="169"/>
      <c r="P530" s="169"/>
      <c r="Q530" s="169"/>
      <c r="R530" s="114"/>
      <c r="S530" s="180"/>
      <c r="T530" s="114"/>
    </row>
    <row r="531" spans="2:20" ht="15.75">
      <c r="B531" s="108" t="s">
        <v>739</v>
      </c>
      <c r="D531" s="136" t="s">
        <v>562</v>
      </c>
      <c r="E531" s="109" t="s">
        <v>367</v>
      </c>
      <c r="F531" s="113">
        <v>0</v>
      </c>
      <c r="G531" s="113">
        <v>0</v>
      </c>
      <c r="H531" s="113">
        <v>0</v>
      </c>
      <c r="I531" s="113">
        <v>0</v>
      </c>
      <c r="J531" s="113">
        <v>0</v>
      </c>
      <c r="K531" s="113">
        <v>0</v>
      </c>
      <c r="L531" s="169">
        <v>0</v>
      </c>
      <c r="M531" s="169">
        <v>0</v>
      </c>
      <c r="N531" s="169">
        <v>0</v>
      </c>
      <c r="O531" s="169">
        <v>0</v>
      </c>
      <c r="P531" s="169">
        <v>0</v>
      </c>
      <c r="Q531" s="169"/>
      <c r="R531" s="114">
        <f>SUM(F531:Q531)</f>
        <v>0</v>
      </c>
      <c r="S531" s="180">
        <f>R531/12</f>
        <v>0</v>
      </c>
      <c r="T531" s="112">
        <f>MAX(F531:Q531)</f>
        <v>0</v>
      </c>
    </row>
    <row r="532" spans="2:20" ht="15.75">
      <c r="B532" s="108" t="s">
        <v>25</v>
      </c>
      <c r="D532" s="136" t="s">
        <v>563</v>
      </c>
      <c r="E532" s="109"/>
      <c r="F532" s="113"/>
      <c r="G532" s="113"/>
      <c r="H532" s="113"/>
      <c r="I532" s="113">
        <v>18.08</v>
      </c>
      <c r="J532" s="113">
        <v>4.586</v>
      </c>
      <c r="K532" s="113">
        <v>2.654</v>
      </c>
      <c r="L532" s="113">
        <f aca="true" t="shared" si="134" ref="L532:Q532">5.73/6</f>
        <v>0.9550000000000001</v>
      </c>
      <c r="M532" s="113">
        <f t="shared" si="134"/>
        <v>0.9550000000000001</v>
      </c>
      <c r="N532" s="113">
        <f t="shared" si="134"/>
        <v>0.9550000000000001</v>
      </c>
      <c r="O532" s="113">
        <f t="shared" si="134"/>
        <v>0.9550000000000001</v>
      </c>
      <c r="P532" s="113">
        <f t="shared" si="134"/>
        <v>0.9550000000000001</v>
      </c>
      <c r="Q532" s="113">
        <f t="shared" si="134"/>
        <v>0.9550000000000001</v>
      </c>
      <c r="R532" s="114">
        <f>SUM(F532:Q532)</f>
        <v>31.04999999999999</v>
      </c>
      <c r="S532" s="180">
        <f>R532/12</f>
        <v>2.587499999999999</v>
      </c>
      <c r="T532" s="114">
        <f>MAX(F532:Q532)</f>
        <v>18.08</v>
      </c>
    </row>
    <row r="533" spans="2:20" ht="15.75">
      <c r="B533" s="108"/>
      <c r="D533" s="136" t="s">
        <v>685</v>
      </c>
      <c r="E533" s="109"/>
      <c r="F533" s="113"/>
      <c r="G533" s="113"/>
      <c r="H533" s="113"/>
      <c r="I533" s="113"/>
      <c r="J533" s="113"/>
      <c r="K533" s="113"/>
      <c r="L533" s="169"/>
      <c r="M533" s="169"/>
      <c r="N533" s="169"/>
      <c r="O533" s="169"/>
      <c r="P533" s="169"/>
      <c r="Q533" s="169"/>
      <c r="R533" s="114">
        <f>SUM(F533:Q533)</f>
        <v>0</v>
      </c>
      <c r="S533" s="180">
        <f>R533/12</f>
        <v>0</v>
      </c>
      <c r="T533" s="114">
        <f>MAX(F533:Q533)</f>
        <v>0</v>
      </c>
    </row>
    <row r="534" spans="2:20" ht="15.75">
      <c r="B534" s="108"/>
      <c r="D534" s="136"/>
      <c r="E534" s="109"/>
      <c r="F534" s="113"/>
      <c r="G534" s="113"/>
      <c r="H534" s="113"/>
      <c r="I534" s="113"/>
      <c r="J534" s="113"/>
      <c r="K534" s="113"/>
      <c r="L534" s="169"/>
      <c r="M534" s="169"/>
      <c r="N534" s="169"/>
      <c r="O534" s="169"/>
      <c r="P534" s="169"/>
      <c r="Q534" s="169"/>
      <c r="R534" s="114"/>
      <c r="S534" s="180"/>
      <c r="T534" s="114"/>
    </row>
    <row r="535" spans="2:20" ht="15.75">
      <c r="B535" s="108"/>
      <c r="D535" s="136"/>
      <c r="E535" s="109"/>
      <c r="F535" s="113"/>
      <c r="G535" s="113"/>
      <c r="H535" s="113"/>
      <c r="I535" s="113"/>
      <c r="J535" s="113"/>
      <c r="K535" s="113"/>
      <c r="L535" s="169"/>
      <c r="M535" s="169"/>
      <c r="N535" s="169"/>
      <c r="O535" s="169"/>
      <c r="P535" s="169"/>
      <c r="Q535" s="169"/>
      <c r="R535" s="114"/>
      <c r="S535" s="180"/>
      <c r="T535" s="114"/>
    </row>
    <row r="536" spans="2:20" ht="47.25">
      <c r="B536" s="108" t="s">
        <v>354</v>
      </c>
      <c r="D536" s="140"/>
      <c r="E536" s="123"/>
      <c r="F536" s="113"/>
      <c r="G536" s="113"/>
      <c r="H536" s="113"/>
      <c r="I536" s="113"/>
      <c r="J536" s="113"/>
      <c r="K536" s="113"/>
      <c r="L536" s="113"/>
      <c r="M536" s="113"/>
      <c r="N536" s="113"/>
      <c r="O536" s="113"/>
      <c r="P536" s="113"/>
      <c r="Q536" s="113"/>
      <c r="R536" s="114"/>
      <c r="S536" s="180"/>
      <c r="T536" s="114"/>
    </row>
    <row r="537" spans="2:20" ht="15.75">
      <c r="B537" s="108" t="s">
        <v>428</v>
      </c>
      <c r="D537" s="136" t="s">
        <v>562</v>
      </c>
      <c r="E537" s="109" t="s">
        <v>367</v>
      </c>
      <c r="F537" s="114">
        <f>F531+F526+F522+F518+F514+F510+F506+F502+F498+F494+F490+F486+F482+F478+F474+F469+F465+F461+F457+F453</f>
        <v>26.605000000000004</v>
      </c>
      <c r="G537" s="114">
        <f aca="true" t="shared" si="135" ref="G537:R537">G531+G526+G522+G518+G514+G510+G506+G502+G498+G494+G490+G486+G482+G478+G474+G469+G465+G461+G457+G453</f>
        <v>8.956999999999999</v>
      </c>
      <c r="H537" s="114">
        <f t="shared" si="135"/>
        <v>11.219</v>
      </c>
      <c r="I537" s="114">
        <f t="shared" si="135"/>
        <v>10.566999999999998</v>
      </c>
      <c r="J537" s="114">
        <f t="shared" si="135"/>
        <v>14.718</v>
      </c>
      <c r="K537" s="114">
        <f t="shared" si="135"/>
        <v>14.864</v>
      </c>
      <c r="L537" s="114">
        <f t="shared" si="135"/>
        <v>14.950000000000001</v>
      </c>
      <c r="M537" s="114">
        <f t="shared" si="135"/>
        <v>11.103</v>
      </c>
      <c r="N537" s="114">
        <f t="shared" si="135"/>
        <v>15.670000000000002</v>
      </c>
      <c r="O537" s="114">
        <f t="shared" si="135"/>
        <v>15.818000000000001</v>
      </c>
      <c r="P537" s="114">
        <f t="shared" si="135"/>
        <v>13.104</v>
      </c>
      <c r="Q537" s="114">
        <f t="shared" si="135"/>
        <v>16.051</v>
      </c>
      <c r="R537" s="114">
        <f t="shared" si="135"/>
        <v>173.626</v>
      </c>
      <c r="S537" s="491">
        <f>R537/12</f>
        <v>14.468833333333334</v>
      </c>
      <c r="T537" s="112">
        <f>MAX(F537:Q537)</f>
        <v>26.605000000000004</v>
      </c>
    </row>
    <row r="538" spans="2:20" ht="15.75">
      <c r="B538" s="108"/>
      <c r="D538" s="136" t="s">
        <v>563</v>
      </c>
      <c r="E538" s="109"/>
      <c r="F538" s="114">
        <f aca="true" t="shared" si="136" ref="F538:R538">F532+F527+F523+F519+F515+F511+F507+F503+F499+F495+F491+F487+F483+F479+F475+F470+F466+F462+F458+F454</f>
        <v>9.520999999999999</v>
      </c>
      <c r="G538" s="114">
        <f t="shared" si="136"/>
        <v>11.011</v>
      </c>
      <c r="H538" s="114">
        <f t="shared" si="136"/>
        <v>8.376</v>
      </c>
      <c r="I538" s="114">
        <f t="shared" si="136"/>
        <v>34.82499999999999</v>
      </c>
      <c r="J538" s="114">
        <f t="shared" si="136"/>
        <v>26.933</v>
      </c>
      <c r="K538" s="114">
        <f t="shared" si="136"/>
        <v>22.324</v>
      </c>
      <c r="L538" s="114">
        <f t="shared" si="136"/>
        <v>18.023600000000002</v>
      </c>
      <c r="M538" s="114">
        <f t="shared" si="136"/>
        <v>18.023600000000002</v>
      </c>
      <c r="N538" s="114">
        <f t="shared" si="136"/>
        <v>18.023600000000002</v>
      </c>
      <c r="O538" s="114">
        <f t="shared" si="136"/>
        <v>18.023600000000002</v>
      </c>
      <c r="P538" s="114">
        <f t="shared" si="136"/>
        <v>18.023600000000002</v>
      </c>
      <c r="Q538" s="114">
        <f t="shared" si="136"/>
        <v>18.023600000000002</v>
      </c>
      <c r="R538" s="114">
        <f t="shared" si="136"/>
        <v>221.1316</v>
      </c>
      <c r="S538" s="491">
        <f>R538/12</f>
        <v>18.427633333333333</v>
      </c>
      <c r="T538" s="114">
        <f>MAX(F538:Q538)</f>
        <v>34.82499999999999</v>
      </c>
    </row>
    <row r="539" spans="2:20" ht="15.75">
      <c r="B539" s="108"/>
      <c r="D539" s="136" t="s">
        <v>685</v>
      </c>
      <c r="E539" s="109"/>
      <c r="F539" s="114">
        <f aca="true" t="shared" si="137" ref="F539:Q539">1224.62/12</f>
        <v>102.05166666666666</v>
      </c>
      <c r="G539" s="114">
        <f t="shared" si="137"/>
        <v>102.05166666666666</v>
      </c>
      <c r="H539" s="114">
        <f t="shared" si="137"/>
        <v>102.05166666666666</v>
      </c>
      <c r="I539" s="114">
        <f t="shared" si="137"/>
        <v>102.05166666666666</v>
      </c>
      <c r="J539" s="114">
        <f t="shared" si="137"/>
        <v>102.05166666666666</v>
      </c>
      <c r="K539" s="114">
        <f t="shared" si="137"/>
        <v>102.05166666666666</v>
      </c>
      <c r="L539" s="114">
        <f t="shared" si="137"/>
        <v>102.05166666666666</v>
      </c>
      <c r="M539" s="114">
        <f t="shared" si="137"/>
        <v>102.05166666666666</v>
      </c>
      <c r="N539" s="114">
        <f t="shared" si="137"/>
        <v>102.05166666666666</v>
      </c>
      <c r="O539" s="114">
        <f t="shared" si="137"/>
        <v>102.05166666666666</v>
      </c>
      <c r="P539" s="114">
        <f t="shared" si="137"/>
        <v>102.05166666666666</v>
      </c>
      <c r="Q539" s="114">
        <f t="shared" si="137"/>
        <v>102.05166666666666</v>
      </c>
      <c r="R539" s="114">
        <f>SUM(F539:Q539)</f>
        <v>1224.62</v>
      </c>
      <c r="S539" s="491">
        <f>R539/12</f>
        <v>102.05166666666666</v>
      </c>
      <c r="T539" s="114">
        <f>MAX(F539:Q539)</f>
        <v>102.05166666666666</v>
      </c>
    </row>
    <row r="540" spans="2:20" ht="15.75">
      <c r="B540" s="108"/>
      <c r="D540" s="136"/>
      <c r="E540" s="109"/>
      <c r="F540" s="114"/>
      <c r="G540" s="114"/>
      <c r="H540" s="114"/>
      <c r="I540" s="114"/>
      <c r="J540" s="114"/>
      <c r="K540" s="114"/>
      <c r="L540" s="114"/>
      <c r="M540" s="114"/>
      <c r="N540" s="114"/>
      <c r="O540" s="114"/>
      <c r="P540" s="114"/>
      <c r="Q540" s="114"/>
      <c r="R540" s="114"/>
      <c r="S540" s="180"/>
      <c r="T540" s="114"/>
    </row>
    <row r="541" spans="2:20" ht="15.75">
      <c r="B541" s="134"/>
      <c r="D541" s="141"/>
      <c r="E541" s="123"/>
      <c r="F541" s="113"/>
      <c r="G541" s="113"/>
      <c r="H541" s="113"/>
      <c r="I541" s="113"/>
      <c r="J541" s="113"/>
      <c r="K541" s="113"/>
      <c r="L541" s="113"/>
      <c r="M541" s="113"/>
      <c r="N541" s="113"/>
      <c r="O541" s="113"/>
      <c r="P541" s="113"/>
      <c r="Q541" s="113"/>
      <c r="R541" s="114"/>
      <c r="S541" s="180"/>
      <c r="T541" s="114"/>
    </row>
    <row r="542" spans="2:20" ht="31.5">
      <c r="B542" s="108" t="s">
        <v>356</v>
      </c>
      <c r="D542" s="137"/>
      <c r="E542" s="107"/>
      <c r="F542" s="113"/>
      <c r="G542" s="113"/>
      <c r="H542" s="113"/>
      <c r="I542" s="113"/>
      <c r="J542" s="113"/>
      <c r="K542" s="113"/>
      <c r="L542" s="113"/>
      <c r="M542" s="113"/>
      <c r="N542" s="113"/>
      <c r="O542" s="113"/>
      <c r="P542" s="113"/>
      <c r="Q542" s="113"/>
      <c r="R542" s="114"/>
      <c r="S542" s="180"/>
      <c r="T542" s="63"/>
    </row>
    <row r="543" spans="2:20" ht="15.75">
      <c r="B543" s="108" t="s">
        <v>357</v>
      </c>
      <c r="D543" s="137"/>
      <c r="E543" s="107"/>
      <c r="F543" s="113"/>
      <c r="G543" s="113"/>
      <c r="H543" s="113"/>
      <c r="I543" s="113"/>
      <c r="J543" s="113"/>
      <c r="K543" s="113"/>
      <c r="L543" s="113"/>
      <c r="M543" s="113"/>
      <c r="N543" s="113"/>
      <c r="O543" s="113"/>
      <c r="P543" s="113"/>
      <c r="Q543" s="113"/>
      <c r="R543" s="114"/>
      <c r="S543" s="180"/>
      <c r="T543" s="63"/>
    </row>
    <row r="544" spans="2:20" ht="15.75">
      <c r="B544" s="108" t="s">
        <v>593</v>
      </c>
      <c r="D544" s="136" t="s">
        <v>562</v>
      </c>
      <c r="E544" s="109" t="s">
        <v>367</v>
      </c>
      <c r="F544" s="113">
        <v>12.75</v>
      </c>
      <c r="G544" s="113">
        <v>19.387</v>
      </c>
      <c r="H544" s="113">
        <v>24.76</v>
      </c>
      <c r="I544" s="113">
        <v>31.891</v>
      </c>
      <c r="J544" s="113">
        <v>28.906</v>
      </c>
      <c r="K544" s="113">
        <v>29.656</v>
      </c>
      <c r="L544" s="113">
        <v>28.856</v>
      </c>
      <c r="M544" s="113">
        <v>25.92</v>
      </c>
      <c r="N544" s="113">
        <v>13.118</v>
      </c>
      <c r="O544" s="113">
        <v>8.825</v>
      </c>
      <c r="P544" s="113">
        <v>8.801</v>
      </c>
      <c r="Q544" s="113">
        <v>10.577</v>
      </c>
      <c r="R544" s="145">
        <f>SUM(F544:Q544)</f>
        <v>243.447</v>
      </c>
      <c r="S544" s="161">
        <f>R544/12</f>
        <v>20.28725</v>
      </c>
      <c r="T544" s="145">
        <f>MAX(F544:Q544)</f>
        <v>31.891</v>
      </c>
    </row>
    <row r="545" spans="2:20" ht="15.75">
      <c r="B545" s="129"/>
      <c r="D545" s="136" t="s">
        <v>563</v>
      </c>
      <c r="E545" s="109"/>
      <c r="F545" s="113">
        <v>12.014</v>
      </c>
      <c r="G545" s="113">
        <v>14.599</v>
      </c>
      <c r="H545" s="113">
        <v>21.277</v>
      </c>
      <c r="I545" s="113">
        <v>24.371</v>
      </c>
      <c r="J545" s="113">
        <v>29.449</v>
      </c>
      <c r="K545" s="113">
        <v>29.61</v>
      </c>
      <c r="L545" s="113">
        <f aca="true" t="shared" si="138" ref="L545:Q545">100/6</f>
        <v>16.666666666666668</v>
      </c>
      <c r="M545" s="113">
        <f t="shared" si="138"/>
        <v>16.666666666666668</v>
      </c>
      <c r="N545" s="113">
        <f t="shared" si="138"/>
        <v>16.666666666666668</v>
      </c>
      <c r="O545" s="113">
        <f t="shared" si="138"/>
        <v>16.666666666666668</v>
      </c>
      <c r="P545" s="113">
        <f t="shared" si="138"/>
        <v>16.666666666666668</v>
      </c>
      <c r="Q545" s="113">
        <f t="shared" si="138"/>
        <v>16.666666666666668</v>
      </c>
      <c r="R545" s="149">
        <f>SUM(F545:Q545)</f>
        <v>231.31999999999994</v>
      </c>
      <c r="S545" s="173">
        <f>R545/12</f>
        <v>19.27666666666666</v>
      </c>
      <c r="T545" s="149">
        <f>MAX(F545:Q545)</f>
        <v>29.61</v>
      </c>
    </row>
    <row r="546" spans="2:20" ht="15.75">
      <c r="B546" s="108"/>
      <c r="D546" s="136" t="s">
        <v>685</v>
      </c>
      <c r="E546" s="109"/>
      <c r="F546" s="113">
        <f>210/12</f>
        <v>17.5</v>
      </c>
      <c r="G546" s="113">
        <f aca="true" t="shared" si="139" ref="G546:Q546">210/12</f>
        <v>17.5</v>
      </c>
      <c r="H546" s="113">
        <f t="shared" si="139"/>
        <v>17.5</v>
      </c>
      <c r="I546" s="113">
        <f t="shared" si="139"/>
        <v>17.5</v>
      </c>
      <c r="J546" s="113">
        <f t="shared" si="139"/>
        <v>17.5</v>
      </c>
      <c r="K546" s="113">
        <f t="shared" si="139"/>
        <v>17.5</v>
      </c>
      <c r="L546" s="113">
        <f t="shared" si="139"/>
        <v>17.5</v>
      </c>
      <c r="M546" s="113">
        <f t="shared" si="139"/>
        <v>17.5</v>
      </c>
      <c r="N546" s="113">
        <f t="shared" si="139"/>
        <v>17.5</v>
      </c>
      <c r="O546" s="113">
        <f t="shared" si="139"/>
        <v>17.5</v>
      </c>
      <c r="P546" s="113">
        <f t="shared" si="139"/>
        <v>17.5</v>
      </c>
      <c r="Q546" s="113">
        <f t="shared" si="139"/>
        <v>17.5</v>
      </c>
      <c r="R546" s="149">
        <f>SUM(F546:Q546)</f>
        <v>210</v>
      </c>
      <c r="S546" s="173">
        <f>R546/12</f>
        <v>17.5</v>
      </c>
      <c r="T546" s="149">
        <f>MAX(F546:Q546)</f>
        <v>17.5</v>
      </c>
    </row>
    <row r="547" spans="2:20" ht="15.75">
      <c r="B547" s="108"/>
      <c r="D547" s="136"/>
      <c r="E547" s="109"/>
      <c r="F547" s="113"/>
      <c r="G547" s="113"/>
      <c r="H547" s="113"/>
      <c r="I547" s="113"/>
      <c r="J547" s="113"/>
      <c r="K547" s="113"/>
      <c r="L547" s="113"/>
      <c r="M547" s="113"/>
      <c r="N547" s="113"/>
      <c r="O547" s="113"/>
      <c r="P547" s="113"/>
      <c r="Q547" s="113"/>
      <c r="R547" s="114"/>
      <c r="S547" s="180"/>
      <c r="T547" s="112"/>
    </row>
    <row r="548" spans="2:20" ht="15.75">
      <c r="B548" s="108" t="s">
        <v>594</v>
      </c>
      <c r="D548" s="136" t="s">
        <v>562</v>
      </c>
      <c r="E548" s="109" t="s">
        <v>367</v>
      </c>
      <c r="F548" s="113">
        <v>10.003</v>
      </c>
      <c r="G548" s="113">
        <v>9.604</v>
      </c>
      <c r="H548" s="113">
        <v>6.453</v>
      </c>
      <c r="I548" s="113">
        <v>7.546</v>
      </c>
      <c r="J548" s="113">
        <v>10.301</v>
      </c>
      <c r="K548" s="113">
        <v>10.607</v>
      </c>
      <c r="L548" s="113">
        <v>8.989</v>
      </c>
      <c r="M548" s="113">
        <v>10.472</v>
      </c>
      <c r="N548" s="113">
        <v>7.245</v>
      </c>
      <c r="O548" s="113">
        <v>2.734</v>
      </c>
      <c r="P548" s="113">
        <v>2.93</v>
      </c>
      <c r="Q548" s="113">
        <v>6.239</v>
      </c>
      <c r="R548" s="145">
        <f>SUM(F548:Q548)</f>
        <v>93.123</v>
      </c>
      <c r="S548" s="161">
        <f>R548/12</f>
        <v>7.76025</v>
      </c>
      <c r="T548" s="145">
        <f>MAX(F548:Q548)</f>
        <v>10.607</v>
      </c>
    </row>
    <row r="549" spans="2:20" ht="15.75">
      <c r="B549" s="129"/>
      <c r="D549" s="136" t="s">
        <v>563</v>
      </c>
      <c r="E549" s="109"/>
      <c r="F549" s="113">
        <v>8.271</v>
      </c>
      <c r="G549" s="113">
        <v>8.933</v>
      </c>
      <c r="H549" s="113">
        <v>8.966</v>
      </c>
      <c r="I549" s="113">
        <v>7.991</v>
      </c>
      <c r="J549" s="113">
        <v>10.142</v>
      </c>
      <c r="K549" s="113">
        <v>11.147</v>
      </c>
      <c r="L549" s="113">
        <f aca="true" t="shared" si="140" ref="L549:Q549">50/6</f>
        <v>8.333333333333334</v>
      </c>
      <c r="M549" s="113">
        <f t="shared" si="140"/>
        <v>8.333333333333334</v>
      </c>
      <c r="N549" s="113">
        <f t="shared" si="140"/>
        <v>8.333333333333334</v>
      </c>
      <c r="O549" s="113">
        <f t="shared" si="140"/>
        <v>8.333333333333334</v>
      </c>
      <c r="P549" s="113">
        <f t="shared" si="140"/>
        <v>8.333333333333334</v>
      </c>
      <c r="Q549" s="113">
        <f t="shared" si="140"/>
        <v>8.333333333333334</v>
      </c>
      <c r="R549" s="149">
        <f>SUM(F549:Q549)</f>
        <v>105.44999999999997</v>
      </c>
      <c r="S549" s="173">
        <f>R549/12</f>
        <v>8.787499999999998</v>
      </c>
      <c r="T549" s="149">
        <f>MAX(F549:Q549)</f>
        <v>11.147</v>
      </c>
    </row>
    <row r="550" spans="2:20" ht="15.75">
      <c r="B550" s="108"/>
      <c r="D550" s="136" t="s">
        <v>685</v>
      </c>
      <c r="E550" s="109"/>
      <c r="F550" s="113">
        <f>110/12</f>
        <v>9.166666666666666</v>
      </c>
      <c r="G550" s="113">
        <f aca="true" t="shared" si="141" ref="G550:Q550">110/12</f>
        <v>9.166666666666666</v>
      </c>
      <c r="H550" s="113">
        <f t="shared" si="141"/>
        <v>9.166666666666666</v>
      </c>
      <c r="I550" s="113">
        <f t="shared" si="141"/>
        <v>9.166666666666666</v>
      </c>
      <c r="J550" s="113">
        <f t="shared" si="141"/>
        <v>9.166666666666666</v>
      </c>
      <c r="K550" s="113">
        <f t="shared" si="141"/>
        <v>9.166666666666666</v>
      </c>
      <c r="L550" s="113">
        <f t="shared" si="141"/>
        <v>9.166666666666666</v>
      </c>
      <c r="M550" s="113">
        <f t="shared" si="141"/>
        <v>9.166666666666666</v>
      </c>
      <c r="N550" s="113">
        <f t="shared" si="141"/>
        <v>9.166666666666666</v>
      </c>
      <c r="O550" s="113">
        <f t="shared" si="141"/>
        <v>9.166666666666666</v>
      </c>
      <c r="P550" s="113">
        <f t="shared" si="141"/>
        <v>9.166666666666666</v>
      </c>
      <c r="Q550" s="113">
        <f t="shared" si="141"/>
        <v>9.166666666666666</v>
      </c>
      <c r="R550" s="149">
        <f>SUM(F550:Q550)</f>
        <v>110.00000000000001</v>
      </c>
      <c r="S550" s="173">
        <f>R550/12</f>
        <v>9.166666666666668</v>
      </c>
      <c r="T550" s="149">
        <f>MAX(F550:Q550)</f>
        <v>9.166666666666666</v>
      </c>
    </row>
    <row r="551" spans="2:20" ht="15.75">
      <c r="B551" s="171"/>
      <c r="D551" s="137"/>
      <c r="E551" s="107"/>
      <c r="F551" s="113"/>
      <c r="G551" s="113"/>
      <c r="H551" s="113"/>
      <c r="I551" s="113"/>
      <c r="J551" s="113"/>
      <c r="K551" s="113"/>
      <c r="L551" s="113"/>
      <c r="M551" s="113"/>
      <c r="N551" s="113"/>
      <c r="O551" s="113"/>
      <c r="P551" s="113"/>
      <c r="Q551" s="113"/>
      <c r="R551" s="114"/>
      <c r="S551" s="180"/>
      <c r="T551" s="63"/>
    </row>
    <row r="552" spans="2:20" ht="15.75">
      <c r="B552" s="133" t="s">
        <v>359</v>
      </c>
      <c r="D552" s="137"/>
      <c r="E552" s="107"/>
      <c r="F552" s="113"/>
      <c r="G552" s="113"/>
      <c r="H552" s="113"/>
      <c r="I552" s="113"/>
      <c r="J552" s="113"/>
      <c r="K552" s="113"/>
      <c r="L552" s="113"/>
      <c r="M552" s="113"/>
      <c r="N552" s="113"/>
      <c r="O552" s="113"/>
      <c r="P552" s="113"/>
      <c r="Q552" s="113"/>
      <c r="R552" s="114"/>
      <c r="S552" s="180"/>
      <c r="T552" s="63"/>
    </row>
    <row r="553" spans="2:20" ht="15.75">
      <c r="B553" s="133"/>
      <c r="D553" s="136" t="s">
        <v>562</v>
      </c>
      <c r="E553" s="109" t="s">
        <v>367</v>
      </c>
      <c r="F553" s="113">
        <f>0.126+0.114+0.124+0.143+0.112+0.111+0.141+0.154+3.059+0.554</f>
        <v>4.638</v>
      </c>
      <c r="G553" s="113">
        <f>0.143+0.12+0.101+0.131+0.118+0.086+0.134+0.146+3.463+0.556</f>
        <v>4.998</v>
      </c>
      <c r="H553" s="113">
        <f>0.097+0.081+0.093+0.092+0.078+0.088+0.092+0.089+3.66+0.454</f>
        <v>4.824</v>
      </c>
      <c r="I553" s="113">
        <f>0.094+0.076+0.072+0.08+0.063+0.073+0.079+0.096+3.846+0.455</f>
        <v>4.934</v>
      </c>
      <c r="J553" s="113">
        <f>0.1+0.096+0.081+0.08+0.079+0.073+0.093+0.102+5.373+0.506</f>
        <v>6.583</v>
      </c>
      <c r="K553" s="113">
        <f>0.116+0.092+0.078+0.102+0.075+0.088+0.097+0.12+6.627+0.585</f>
        <v>7.9799999999999995</v>
      </c>
      <c r="L553" s="113">
        <f>0.108+0.08+0.035+0.99+0.073+0.055+0.89+0.99+12.094+0.565</f>
        <v>15.879999999999999</v>
      </c>
      <c r="M553" s="113">
        <f>0.113+0.107+0.093+0.125+0.101+0.088+0.101+0.088+0.12+0.12+7.008+0.574</f>
        <v>8.638</v>
      </c>
      <c r="N553" s="113">
        <f>0.121+0.109+0.102+0.142+0.123+0.102+0.121+0.117+6.642+0.499</f>
        <v>8.078000000000001</v>
      </c>
      <c r="O553" s="113">
        <f>0.125+0.107+0.1+0.123+0.104+0.103+0.121+0.116+10.435+0.345</f>
        <v>11.679</v>
      </c>
      <c r="P553" s="113">
        <f>0.124+0.112+0.111+0.13+0.118+0.1+0.13+0.127+8.911+0.589</f>
        <v>10.452</v>
      </c>
      <c r="Q553" s="113">
        <f>0.129+0.12+0.125+0.143+0.125+0.112+0.114+9.729+0.649+0.01</f>
        <v>11.255999999999998</v>
      </c>
      <c r="R553" s="145">
        <f>SUM(F553:Q553)</f>
        <v>99.93999999999998</v>
      </c>
      <c r="S553" s="161">
        <f>R553/12</f>
        <v>8.328333333333331</v>
      </c>
      <c r="T553" s="145">
        <f>MAX(F553:Q553)</f>
        <v>15.879999999999999</v>
      </c>
    </row>
    <row r="554" spans="2:20" ht="14.25" customHeight="1">
      <c r="B554" s="108" t="s">
        <v>358</v>
      </c>
      <c r="D554" s="136" t="s">
        <v>563</v>
      </c>
      <c r="E554" s="109"/>
      <c r="F554" s="113">
        <f>0.125+0.119+0.127+0.137+0.113+0.123+0.128+0.136+9.212+0.726+0.508</f>
        <v>11.453999999999997</v>
      </c>
      <c r="G554" s="113">
        <f>0.136+0.108+0.105+0.142+0.114+0.106+0.132+0.147+11.721+0.79+0.613</f>
        <v>14.114</v>
      </c>
      <c r="H554" s="113">
        <f>0.116+0.083+0.08+0.111+0.095+0.081+0.111+0.127+10.806+0.737+0.582</f>
        <v>12.929</v>
      </c>
      <c r="I554" s="113">
        <f>0.075+0.062+0.046+0.078+0.07+0.048+0.071+0.065+10.109+0.731+1.578</f>
        <v>12.933</v>
      </c>
      <c r="J554" s="113">
        <f>0.088+0.072+0.078+0.081+0.076+0.072+0.072+0.111+9.173+0.513+0.5</f>
        <v>10.836</v>
      </c>
      <c r="K554" s="113">
        <f>0.099+0.077+0.077+0.106+0.092+0.071+0.067+0.096+8.065+0.651+0.609</f>
        <v>10.01</v>
      </c>
      <c r="L554" s="113">
        <f aca="true" t="shared" si="142" ref="L554:Q554">72.28/6</f>
        <v>12.046666666666667</v>
      </c>
      <c r="M554" s="113">
        <f t="shared" si="142"/>
        <v>12.046666666666667</v>
      </c>
      <c r="N554" s="113">
        <f t="shared" si="142"/>
        <v>12.046666666666667</v>
      </c>
      <c r="O554" s="113">
        <f t="shared" si="142"/>
        <v>12.046666666666667</v>
      </c>
      <c r="P554" s="113">
        <f t="shared" si="142"/>
        <v>12.046666666666667</v>
      </c>
      <c r="Q554" s="113">
        <f t="shared" si="142"/>
        <v>12.046666666666667</v>
      </c>
      <c r="R554" s="149">
        <f>SUM(F554:Q554)</f>
        <v>144.55599999999998</v>
      </c>
      <c r="S554" s="173">
        <f>R554/12</f>
        <v>12.046333333333331</v>
      </c>
      <c r="T554" s="149">
        <f>MAX(F554:Q554)</f>
        <v>14.114</v>
      </c>
    </row>
    <row r="555" spans="2:20" ht="15.75">
      <c r="B555" s="108"/>
      <c r="D555" s="136" t="s">
        <v>685</v>
      </c>
      <c r="E555" s="109"/>
      <c r="F555" s="113">
        <f>127/12</f>
        <v>10.583333333333334</v>
      </c>
      <c r="G555" s="113">
        <f aca="true" t="shared" si="143" ref="G555:Q555">127/12</f>
        <v>10.583333333333334</v>
      </c>
      <c r="H555" s="113">
        <f t="shared" si="143"/>
        <v>10.583333333333334</v>
      </c>
      <c r="I555" s="113">
        <f t="shared" si="143"/>
        <v>10.583333333333334</v>
      </c>
      <c r="J555" s="113">
        <f t="shared" si="143"/>
        <v>10.583333333333334</v>
      </c>
      <c r="K555" s="113">
        <f t="shared" si="143"/>
        <v>10.583333333333334</v>
      </c>
      <c r="L555" s="113">
        <f t="shared" si="143"/>
        <v>10.583333333333334</v>
      </c>
      <c r="M555" s="113">
        <f t="shared" si="143"/>
        <v>10.583333333333334</v>
      </c>
      <c r="N555" s="113">
        <f t="shared" si="143"/>
        <v>10.583333333333334</v>
      </c>
      <c r="O555" s="113">
        <f t="shared" si="143"/>
        <v>10.583333333333334</v>
      </c>
      <c r="P555" s="113">
        <f t="shared" si="143"/>
        <v>10.583333333333334</v>
      </c>
      <c r="Q555" s="113">
        <f t="shared" si="143"/>
        <v>10.583333333333334</v>
      </c>
      <c r="R555" s="149">
        <f>SUM(F555:Q555)</f>
        <v>126.99999999999999</v>
      </c>
      <c r="S555" s="173">
        <f>R555/12</f>
        <v>10.583333333333332</v>
      </c>
      <c r="T555" s="149">
        <f>MAX(F555:Q555)</f>
        <v>10.583333333333334</v>
      </c>
    </row>
    <row r="556" spans="2:20" ht="15.75">
      <c r="B556" s="107"/>
      <c r="D556" s="137"/>
      <c r="E556" s="107"/>
      <c r="F556" s="113"/>
      <c r="G556" s="113"/>
      <c r="H556" s="113"/>
      <c r="I556" s="113"/>
      <c r="J556" s="113"/>
      <c r="K556" s="113"/>
      <c r="L556" s="113"/>
      <c r="M556" s="113"/>
      <c r="N556" s="113"/>
      <c r="O556" s="113"/>
      <c r="P556" s="113"/>
      <c r="Q556" s="113"/>
      <c r="R556" s="114"/>
      <c r="S556" s="180"/>
      <c r="T556" s="63"/>
    </row>
    <row r="557" spans="2:20" ht="15.75">
      <c r="B557" s="108"/>
      <c r="D557" s="137"/>
      <c r="E557" s="107"/>
      <c r="F557" s="113"/>
      <c r="G557" s="113"/>
      <c r="H557" s="113"/>
      <c r="I557" s="113"/>
      <c r="J557" s="113"/>
      <c r="K557" s="113"/>
      <c r="L557" s="113"/>
      <c r="M557" s="113"/>
      <c r="N557" s="113"/>
      <c r="O557" s="113"/>
      <c r="P557" s="113"/>
      <c r="Q557" s="113"/>
      <c r="R557" s="114"/>
      <c r="S557" s="180"/>
      <c r="T557" s="63"/>
    </row>
    <row r="558" spans="2:20" ht="15.75">
      <c r="B558" s="108" t="s">
        <v>360</v>
      </c>
      <c r="D558" s="137"/>
      <c r="E558" s="107"/>
      <c r="F558" s="113"/>
      <c r="G558" s="113"/>
      <c r="H558" s="113"/>
      <c r="I558" s="113"/>
      <c r="K558" s="113"/>
      <c r="L558" s="113"/>
      <c r="M558" s="113"/>
      <c r="N558" s="113"/>
      <c r="O558" s="113"/>
      <c r="P558" s="113"/>
      <c r="Q558" s="113"/>
      <c r="R558" s="114"/>
      <c r="S558" s="180"/>
      <c r="T558" s="63"/>
    </row>
    <row r="559" spans="2:20" ht="15.75">
      <c r="B559" s="108" t="s">
        <v>609</v>
      </c>
      <c r="D559" s="137"/>
      <c r="E559" s="107"/>
      <c r="F559" s="113"/>
      <c r="G559" s="113"/>
      <c r="H559" s="113"/>
      <c r="I559" s="113"/>
      <c r="J559" s="113"/>
      <c r="K559" s="113"/>
      <c r="L559" s="113"/>
      <c r="M559" s="113"/>
      <c r="N559" s="113"/>
      <c r="O559" s="113"/>
      <c r="P559" s="113"/>
      <c r="Q559" s="113"/>
      <c r="R559" s="114"/>
      <c r="S559" s="180"/>
      <c r="T559" s="63"/>
    </row>
    <row r="560" spans="2:20" ht="15.75">
      <c r="B560" s="108" t="s">
        <v>358</v>
      </c>
      <c r="D560" s="136" t="s">
        <v>562</v>
      </c>
      <c r="E560" s="109" t="s">
        <v>367</v>
      </c>
      <c r="F560" s="113">
        <v>0</v>
      </c>
      <c r="G560" s="113">
        <v>0</v>
      </c>
      <c r="H560" s="113">
        <v>0</v>
      </c>
      <c r="I560" s="113">
        <v>0</v>
      </c>
      <c r="J560" s="113">
        <v>0</v>
      </c>
      <c r="K560" s="113">
        <v>0</v>
      </c>
      <c r="L560" s="113">
        <v>0</v>
      </c>
      <c r="M560" s="113">
        <v>0</v>
      </c>
      <c r="N560" s="113">
        <v>0</v>
      </c>
      <c r="O560" s="113">
        <v>0</v>
      </c>
      <c r="P560" s="113">
        <v>0</v>
      </c>
      <c r="Q560" s="113">
        <v>0</v>
      </c>
      <c r="R560" s="145">
        <f>SUM(F560:Q560)</f>
        <v>0</v>
      </c>
      <c r="S560" s="161">
        <f>R560/12</f>
        <v>0</v>
      </c>
      <c r="T560" s="145">
        <f>MAX(F560:Q560)</f>
        <v>0</v>
      </c>
    </row>
    <row r="561" spans="2:20" ht="15.75">
      <c r="B561" s="108"/>
      <c r="D561" s="136" t="s">
        <v>563</v>
      </c>
      <c r="E561" s="109"/>
      <c r="F561" s="113">
        <v>0</v>
      </c>
      <c r="G561" s="113">
        <v>0</v>
      </c>
      <c r="H561" s="113">
        <v>0</v>
      </c>
      <c r="I561" s="113">
        <v>0</v>
      </c>
      <c r="J561" s="113">
        <v>0</v>
      </c>
      <c r="K561" s="113">
        <v>0</v>
      </c>
      <c r="L561" s="113">
        <v>0</v>
      </c>
      <c r="M561" s="113">
        <v>0</v>
      </c>
      <c r="N561" s="113">
        <v>0</v>
      </c>
      <c r="O561" s="113">
        <v>0</v>
      </c>
      <c r="P561" s="113">
        <v>0</v>
      </c>
      <c r="Q561" s="113">
        <v>0</v>
      </c>
      <c r="R561" s="149">
        <f>SUM(F561:Q561)</f>
        <v>0</v>
      </c>
      <c r="S561" s="173">
        <f>R561/12</f>
        <v>0</v>
      </c>
      <c r="T561" s="149">
        <f>MAX(F561:Q561)</f>
        <v>0</v>
      </c>
    </row>
    <row r="562" spans="2:20" ht="15.75">
      <c r="B562" s="108"/>
      <c r="D562" s="136" t="s">
        <v>685</v>
      </c>
      <c r="E562" s="109"/>
      <c r="F562" s="113">
        <f>160/12</f>
        <v>13.333333333333334</v>
      </c>
      <c r="G562" s="113">
        <f aca="true" t="shared" si="144" ref="G562:Q562">160/12</f>
        <v>13.333333333333334</v>
      </c>
      <c r="H562" s="113">
        <f t="shared" si="144"/>
        <v>13.333333333333334</v>
      </c>
      <c r="I562" s="113">
        <f t="shared" si="144"/>
        <v>13.333333333333334</v>
      </c>
      <c r="J562" s="113">
        <f t="shared" si="144"/>
        <v>13.333333333333334</v>
      </c>
      <c r="K562" s="113">
        <f t="shared" si="144"/>
        <v>13.333333333333334</v>
      </c>
      <c r="L562" s="113">
        <f t="shared" si="144"/>
        <v>13.333333333333334</v>
      </c>
      <c r="M562" s="113">
        <f t="shared" si="144"/>
        <v>13.333333333333334</v>
      </c>
      <c r="N562" s="113">
        <f t="shared" si="144"/>
        <v>13.333333333333334</v>
      </c>
      <c r="O562" s="113">
        <f t="shared" si="144"/>
        <v>13.333333333333334</v>
      </c>
      <c r="P562" s="113">
        <f t="shared" si="144"/>
        <v>13.333333333333334</v>
      </c>
      <c r="Q562" s="113">
        <f t="shared" si="144"/>
        <v>13.333333333333334</v>
      </c>
      <c r="R562" s="149">
        <f>SUM(F562:Q562)</f>
        <v>160</v>
      </c>
      <c r="S562" s="173">
        <f>R562/12</f>
        <v>13.333333333333334</v>
      </c>
      <c r="T562" s="149">
        <f>MAX(F562:Q562)</f>
        <v>13.333333333333334</v>
      </c>
    </row>
    <row r="563" spans="2:20" ht="15.75">
      <c r="B563" s="108"/>
      <c r="C563" s="107"/>
      <c r="D563" s="139"/>
      <c r="E563" s="109"/>
      <c r="F563" s="113"/>
      <c r="G563" s="113"/>
      <c r="H563" s="113"/>
      <c r="I563" s="113"/>
      <c r="J563" s="113"/>
      <c r="K563" s="113"/>
      <c r="L563" s="113"/>
      <c r="M563" s="113"/>
      <c r="N563" s="113"/>
      <c r="O563" s="113"/>
      <c r="P563" s="113"/>
      <c r="Q563" s="113"/>
      <c r="R563" s="114"/>
      <c r="S563" s="180"/>
      <c r="T563" s="63"/>
    </row>
    <row r="564" spans="2:20" ht="15.75">
      <c r="B564" s="108" t="s">
        <v>361</v>
      </c>
      <c r="D564" s="136" t="s">
        <v>562</v>
      </c>
      <c r="E564" s="139" t="s">
        <v>367</v>
      </c>
      <c r="F564" s="114">
        <f aca="true" t="shared" si="145" ref="F564:Q564">F560+F553+F548+F544+F537+F445+F383+F155</f>
        <v>2093.928</v>
      </c>
      <c r="G564" s="114">
        <f t="shared" si="145"/>
        <v>2299.975</v>
      </c>
      <c r="H564" s="114">
        <f t="shared" si="145"/>
        <v>2088.931</v>
      </c>
      <c r="I564" s="114">
        <f t="shared" si="145"/>
        <v>2185.406</v>
      </c>
      <c r="J564" s="114">
        <f t="shared" si="145"/>
        <v>2076.956</v>
      </c>
      <c r="K564" s="114">
        <f t="shared" si="145"/>
        <v>2300.594</v>
      </c>
      <c r="L564" s="114">
        <f t="shared" si="145"/>
        <v>2031.3220000000001</v>
      </c>
      <c r="M564" s="114">
        <f t="shared" si="145"/>
        <v>1963.8370000000004</v>
      </c>
      <c r="N564" s="114">
        <f t="shared" si="145"/>
        <v>1840.516</v>
      </c>
      <c r="O564" s="114">
        <f t="shared" si="145"/>
        <v>1895.154</v>
      </c>
      <c r="P564" s="114">
        <f t="shared" si="145"/>
        <v>1771.137</v>
      </c>
      <c r="Q564" s="114">
        <f t="shared" si="145"/>
        <v>2055.251</v>
      </c>
      <c r="R564" s="145">
        <f>SUM(F564:Q564)</f>
        <v>24603.006999999998</v>
      </c>
      <c r="S564" s="161">
        <f>R564/12</f>
        <v>2050.250583333333</v>
      </c>
      <c r="T564" s="145">
        <f>MAX(F564:Q564)</f>
        <v>2300.594</v>
      </c>
    </row>
    <row r="565" spans="2:20" ht="32.25" customHeight="1">
      <c r="B565" s="119"/>
      <c r="D565" s="136" t="s">
        <v>563</v>
      </c>
      <c r="E565" s="139"/>
      <c r="F565" s="114">
        <f aca="true" t="shared" si="146" ref="F565:I566">F561+F554+F549+F545+F538+F446+F384+F156</f>
        <v>2225.285033</v>
      </c>
      <c r="G565" s="114">
        <f t="shared" si="146"/>
        <v>2303.1210229999997</v>
      </c>
      <c r="H565" s="114">
        <f t="shared" si="146"/>
        <v>2168.353579</v>
      </c>
      <c r="I565" s="114">
        <f t="shared" si="146"/>
        <v>2058.642102</v>
      </c>
      <c r="J565" s="114" t="e">
        <f>J561+#REF!+J549+J545+J538+J446+J384+J156</f>
        <v>#REF!</v>
      </c>
      <c r="K565" s="114">
        <f aca="true" t="shared" si="147" ref="K565:Q566">K561+K554+K549+K545+K538+K446+K384+K156</f>
        <v>2318.800866</v>
      </c>
      <c r="L565" s="114">
        <f t="shared" si="147"/>
        <v>2179.0196</v>
      </c>
      <c r="M565" s="114">
        <f t="shared" si="147"/>
        <v>2084.9696</v>
      </c>
      <c r="N565" s="114">
        <f t="shared" si="147"/>
        <v>1727.5796</v>
      </c>
      <c r="O565" s="114">
        <f t="shared" si="147"/>
        <v>1825.5895999999998</v>
      </c>
      <c r="P565" s="114">
        <f t="shared" si="147"/>
        <v>1882.0196</v>
      </c>
      <c r="Q565" s="114">
        <f t="shared" si="147"/>
        <v>1992.8995999999997</v>
      </c>
      <c r="R565" s="149" t="e">
        <f>SUM(F565:Q565)</f>
        <v>#REF!</v>
      </c>
      <c r="S565" s="173" t="e">
        <f>R565/12</f>
        <v>#REF!</v>
      </c>
      <c r="T565" s="149" t="e">
        <f>MAX(F565:Q565)</f>
        <v>#REF!</v>
      </c>
    </row>
    <row r="566" spans="2:20" ht="36" customHeight="1" hidden="1">
      <c r="B566" s="119"/>
      <c r="D566" s="136" t="s">
        <v>685</v>
      </c>
      <c r="E566" s="196"/>
      <c r="F566" s="114">
        <f t="shared" si="146"/>
        <v>2505.5622145485536</v>
      </c>
      <c r="G566" s="114">
        <f t="shared" si="146"/>
        <v>2549.191212238554</v>
      </c>
      <c r="H566" s="114">
        <f t="shared" si="146"/>
        <v>2412.9690417085535</v>
      </c>
      <c r="I566" s="114">
        <f t="shared" si="146"/>
        <v>2585.738919988554</v>
      </c>
      <c r="J566" s="114">
        <f>J562+J555+J550+J546+J539+J447+J385+J157</f>
        <v>2695.3189809885534</v>
      </c>
      <c r="K566" s="114">
        <f t="shared" si="147"/>
        <v>2731.0331910385535</v>
      </c>
      <c r="L566" s="114">
        <f t="shared" si="147"/>
        <v>2648.9085969885537</v>
      </c>
      <c r="M566" s="114">
        <f t="shared" si="147"/>
        <v>2242.6140057885536</v>
      </c>
      <c r="N566" s="114">
        <f t="shared" si="147"/>
        <v>2158.5085304885533</v>
      </c>
      <c r="O566" s="114">
        <f t="shared" si="147"/>
        <v>2289.0899345585535</v>
      </c>
      <c r="P566" s="114">
        <f t="shared" si="147"/>
        <v>2167.0883682885533</v>
      </c>
      <c r="Q566" s="114">
        <f t="shared" si="147"/>
        <v>2335.316389388554</v>
      </c>
      <c r="R566" s="145">
        <f>SUM(F566:Q566)</f>
        <v>29321.339386012645</v>
      </c>
      <c r="S566" s="161">
        <f>R566/12</f>
        <v>2443.444948834387</v>
      </c>
      <c r="T566" s="145">
        <f>MAX(F566:Q566)</f>
        <v>2731.0331910385535</v>
      </c>
    </row>
    <row r="567" spans="3:20" ht="38.25" customHeight="1">
      <c r="C567" s="38"/>
      <c r="D567" s="136" t="s">
        <v>685</v>
      </c>
      <c r="F567" s="114">
        <f>F562+F555+F550+F546+F539+F447+F385+F157</f>
        <v>2505.5622145485536</v>
      </c>
      <c r="G567" s="114">
        <f aca="true" t="shared" si="148" ref="G567:Q567">G562+G555+G550+G546+G539+G447+G385+G157</f>
        <v>2549.191212238554</v>
      </c>
      <c r="H567" s="114">
        <f t="shared" si="148"/>
        <v>2412.9690417085535</v>
      </c>
      <c r="I567" s="114">
        <f t="shared" si="148"/>
        <v>2585.738919988554</v>
      </c>
      <c r="J567" s="114">
        <f t="shared" si="148"/>
        <v>2695.3189809885534</v>
      </c>
      <c r="K567" s="114">
        <f t="shared" si="148"/>
        <v>2731.0331910385535</v>
      </c>
      <c r="L567" s="114">
        <f t="shared" si="148"/>
        <v>2648.9085969885537</v>
      </c>
      <c r="M567" s="114">
        <f t="shared" si="148"/>
        <v>2242.6140057885536</v>
      </c>
      <c r="N567" s="114">
        <f t="shared" si="148"/>
        <v>2158.5085304885533</v>
      </c>
      <c r="O567" s="114">
        <f t="shared" si="148"/>
        <v>2289.0899345585535</v>
      </c>
      <c r="P567" s="114">
        <f t="shared" si="148"/>
        <v>2167.0883682885533</v>
      </c>
      <c r="Q567" s="114">
        <f t="shared" si="148"/>
        <v>2335.316389388554</v>
      </c>
      <c r="R567" s="149">
        <f>SUM(F567:Q567)-16.6-0.14</f>
        <v>29304.599386012647</v>
      </c>
      <c r="S567" s="173">
        <f>R567/12</f>
        <v>2442.049948834387</v>
      </c>
      <c r="T567" s="149">
        <f>MAX(F567:Q567)</f>
        <v>2731.0331910385535</v>
      </c>
    </row>
    <row r="568" spans="3:20" ht="15.75">
      <c r="C568" s="38"/>
      <c r="F568" s="151"/>
      <c r="G568" s="151"/>
      <c r="H568" s="151"/>
      <c r="I568" s="151"/>
      <c r="J568" s="151"/>
      <c r="K568" s="151"/>
      <c r="L568" s="151"/>
      <c r="M568" s="151"/>
      <c r="N568" s="151"/>
      <c r="O568" s="151"/>
      <c r="P568" s="151"/>
      <c r="Q568" s="151"/>
      <c r="R568" s="195"/>
      <c r="S568" s="151"/>
      <c r="T568" s="38"/>
    </row>
    <row r="569" spans="3:20" ht="15.75">
      <c r="C569" s="38"/>
      <c r="F569" s="151"/>
      <c r="G569" s="151"/>
      <c r="H569" s="151"/>
      <c r="I569" s="151"/>
      <c r="J569" s="151"/>
      <c r="K569" s="151"/>
      <c r="L569" s="151"/>
      <c r="M569" s="151"/>
      <c r="N569" s="151"/>
      <c r="O569" s="151"/>
      <c r="P569" s="151"/>
      <c r="Q569" s="151"/>
      <c r="R569" s="195"/>
      <c r="S569" s="151"/>
      <c r="T569" s="38"/>
    </row>
    <row r="570" ht="12.75">
      <c r="C570" s="38"/>
    </row>
    <row r="571" ht="12.75">
      <c r="C571" s="38"/>
    </row>
    <row r="572" ht="12.75">
      <c r="C572" s="38"/>
    </row>
    <row r="573" ht="12.75">
      <c r="C573" s="38"/>
    </row>
    <row r="574" ht="12.75">
      <c r="C574" s="38"/>
    </row>
    <row r="575" ht="12.75">
      <c r="C575" s="38"/>
    </row>
    <row r="576" spans="3:15" ht="12.75">
      <c r="C576" s="38"/>
      <c r="O576" s="25">
        <f>28213.86-28230.67</f>
        <v>-16.80999999999767</v>
      </c>
    </row>
    <row r="577" ht="12.75">
      <c r="C577" s="38"/>
    </row>
    <row r="578" ht="12.75">
      <c r="C578" s="38"/>
    </row>
    <row r="579" ht="12.75">
      <c r="C579" s="38"/>
    </row>
    <row r="580" ht="12.75">
      <c r="C580" s="38"/>
    </row>
    <row r="581" ht="12.75">
      <c r="C581" s="38"/>
    </row>
    <row r="582" ht="12.75">
      <c r="C582" s="38"/>
    </row>
    <row r="583" ht="12.75">
      <c r="C583" s="38"/>
    </row>
    <row r="584" ht="12.75">
      <c r="C584" s="38"/>
    </row>
    <row r="585" ht="12.75">
      <c r="C585" s="38"/>
    </row>
    <row r="586" ht="12.75">
      <c r="C586" s="38"/>
    </row>
    <row r="587" ht="12.75">
      <c r="C587" s="38"/>
    </row>
    <row r="588" ht="12.75">
      <c r="C588" s="38"/>
    </row>
    <row r="589" ht="12.75">
      <c r="C589" s="38"/>
    </row>
    <row r="590" ht="12.75">
      <c r="C590" s="38"/>
    </row>
    <row r="591" ht="12.75">
      <c r="C591" s="38"/>
    </row>
    <row r="592" ht="12.75">
      <c r="C592" s="38"/>
    </row>
    <row r="593" ht="12.75">
      <c r="C593" s="38"/>
    </row>
    <row r="594" ht="12.75">
      <c r="C594" s="38"/>
    </row>
    <row r="595" ht="12.75">
      <c r="C595" s="38"/>
    </row>
    <row r="596" ht="12.75">
      <c r="C596" s="38"/>
    </row>
    <row r="597" ht="12.75">
      <c r="C597" s="38"/>
    </row>
    <row r="598" ht="12.75">
      <c r="C598" s="38"/>
    </row>
    <row r="599" ht="12.75">
      <c r="C599" s="38"/>
    </row>
    <row r="600" ht="12.75">
      <c r="C600" s="38"/>
    </row>
    <row r="601" ht="12.75">
      <c r="C601" s="38"/>
    </row>
    <row r="602" ht="12.75">
      <c r="C602" s="38"/>
    </row>
    <row r="603" ht="12.75">
      <c r="C603" s="38"/>
    </row>
    <row r="604" ht="12.75">
      <c r="C604" s="38"/>
    </row>
    <row r="605" ht="12.75">
      <c r="C605" s="38"/>
    </row>
    <row r="606" ht="12.75">
      <c r="C606" s="38"/>
    </row>
    <row r="607" ht="12.75">
      <c r="C607" s="38"/>
    </row>
    <row r="608" ht="12.75">
      <c r="C608" s="38"/>
    </row>
    <row r="609" ht="12.75">
      <c r="C609" s="38"/>
    </row>
    <row r="610" ht="12.75">
      <c r="C610" s="38"/>
    </row>
    <row r="611" ht="12.75">
      <c r="C611" s="38"/>
    </row>
    <row r="612" ht="12.75">
      <c r="C612" s="38"/>
    </row>
    <row r="613" ht="12.75">
      <c r="C613" s="38"/>
    </row>
    <row r="614" ht="12.75">
      <c r="C614" s="38"/>
    </row>
    <row r="615" ht="12.75">
      <c r="C615" s="38"/>
    </row>
    <row r="616" ht="12.75">
      <c r="C616" s="38"/>
    </row>
    <row r="617" ht="12.75">
      <c r="C617" s="38"/>
    </row>
    <row r="618" ht="12.75">
      <c r="C618" s="38"/>
    </row>
    <row r="619" ht="12.75">
      <c r="C619" s="38"/>
    </row>
    <row r="620" ht="12.75">
      <c r="C620" s="38"/>
    </row>
    <row r="621" ht="12.75">
      <c r="C621" s="38"/>
    </row>
    <row r="622" ht="12.75">
      <c r="C622" s="38"/>
    </row>
    <row r="623" ht="12.75">
      <c r="C623" s="38"/>
    </row>
    <row r="624" ht="12.75">
      <c r="C624" s="38"/>
    </row>
    <row r="625" ht="12.75">
      <c r="C625" s="38"/>
    </row>
    <row r="626" ht="12.75">
      <c r="C626" s="38"/>
    </row>
    <row r="627" ht="12.75">
      <c r="C627" s="38"/>
    </row>
    <row r="628" ht="12.75">
      <c r="C628" s="38"/>
    </row>
    <row r="629" ht="12.75">
      <c r="C629" s="38"/>
    </row>
    <row r="630" ht="12.75">
      <c r="C630" s="38"/>
    </row>
    <row r="631" ht="12.75">
      <c r="C631" s="38"/>
    </row>
    <row r="632" ht="12.75">
      <c r="C632" s="38"/>
    </row>
    <row r="633" ht="12.75">
      <c r="C633" s="38"/>
    </row>
    <row r="634" ht="12.75">
      <c r="C634" s="38"/>
    </row>
    <row r="635" ht="12.75">
      <c r="C635" s="38"/>
    </row>
    <row r="636" ht="12.75">
      <c r="C636" s="38"/>
    </row>
    <row r="637" ht="12.75">
      <c r="C637" s="38"/>
    </row>
    <row r="638" ht="12.75">
      <c r="C638" s="38"/>
    </row>
    <row r="639" ht="12.75">
      <c r="C639" s="38"/>
    </row>
    <row r="640" ht="12.75">
      <c r="C640" s="38"/>
    </row>
    <row r="641" ht="12.75">
      <c r="C641" s="38"/>
    </row>
    <row r="642" ht="12.75">
      <c r="C642" s="38"/>
    </row>
    <row r="643" ht="12.75">
      <c r="C643" s="38"/>
    </row>
    <row r="644" ht="12.75">
      <c r="C644" s="38"/>
    </row>
    <row r="645" ht="12.75">
      <c r="C645" s="38"/>
    </row>
    <row r="646" ht="12.75">
      <c r="C646" s="38"/>
    </row>
    <row r="647" ht="12.75">
      <c r="C647" s="38"/>
    </row>
    <row r="648" ht="12.75">
      <c r="C648" s="38"/>
    </row>
    <row r="649" ht="12.75">
      <c r="C649" s="38"/>
    </row>
    <row r="650" ht="12.75">
      <c r="C650" s="38"/>
    </row>
    <row r="651" ht="12.75">
      <c r="C651" s="38"/>
    </row>
    <row r="652" ht="12.75">
      <c r="C652" s="38"/>
    </row>
    <row r="653" ht="12.75">
      <c r="C653" s="38"/>
    </row>
    <row r="654" ht="12.75">
      <c r="C654" s="38"/>
    </row>
    <row r="655" ht="12.75">
      <c r="C655" s="38"/>
    </row>
    <row r="656" ht="12.75">
      <c r="C656" s="38"/>
    </row>
    <row r="657" ht="12.75">
      <c r="C657" s="38"/>
    </row>
    <row r="658" ht="12.75">
      <c r="C658" s="38"/>
    </row>
    <row r="659" ht="12.75">
      <c r="C659" s="38"/>
    </row>
    <row r="660" ht="12.75">
      <c r="C660" s="38"/>
    </row>
    <row r="661" ht="12.75">
      <c r="C661" s="38"/>
    </row>
    <row r="662" ht="12.75">
      <c r="C662" s="38"/>
    </row>
    <row r="663" ht="12.75">
      <c r="C663" s="38"/>
    </row>
    <row r="664" ht="12.75">
      <c r="C664" s="38"/>
    </row>
    <row r="665" ht="12.75">
      <c r="C665" s="38"/>
    </row>
    <row r="666" ht="12.75">
      <c r="C666" s="38"/>
    </row>
    <row r="667" ht="12.75">
      <c r="C667" s="38"/>
    </row>
    <row r="668" ht="12.75">
      <c r="C668" s="38"/>
    </row>
    <row r="669" ht="12.75">
      <c r="C669" s="38"/>
    </row>
    <row r="670" ht="12.75">
      <c r="C670" s="38"/>
    </row>
    <row r="671" ht="12.75">
      <c r="C671" s="38"/>
    </row>
    <row r="672" ht="12.75">
      <c r="C672" s="38"/>
    </row>
    <row r="673" ht="12.75">
      <c r="C673" s="38"/>
    </row>
    <row r="674" ht="12.75">
      <c r="C674" s="38"/>
    </row>
  </sheetData>
  <sheetProtection/>
  <printOptions gridLines="1" horizontalCentered="1" verticalCentered="1"/>
  <pageMargins left="0.32" right="0.21" top="0.37" bottom="0.2" header="0.36" footer="0.17"/>
  <pageSetup horizontalDpi="600" verticalDpi="600" orientation="landscape" paperSize="9" scale="36" r:id="rId1"/>
  <rowBreaks count="9" manualBreakCount="9">
    <brk id="65" max="19" man="1"/>
    <brk id="111" max="19" man="1"/>
    <brk id="159" max="19" man="1"/>
    <brk id="202" max="19" man="1"/>
    <brk id="244" max="19" man="1"/>
    <brk id="316" max="19" man="1"/>
    <brk id="385" max="19" man="1"/>
    <brk id="430" max="19" man="1"/>
    <brk id="493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138"/>
  <sheetViews>
    <sheetView zoomScale="77" zoomScaleNormal="77" zoomScalePageLayoutView="0" workbookViewId="0" topLeftCell="B4">
      <selection activeCell="O22" sqref="O22"/>
    </sheetView>
  </sheetViews>
  <sheetFormatPr defaultColWidth="9.140625" defaultRowHeight="12.75"/>
  <cols>
    <col min="1" max="1" width="5.421875" style="428" customWidth="1"/>
    <col min="2" max="2" width="15.57421875" style="427" customWidth="1"/>
    <col min="3" max="3" width="54.7109375" style="426" customWidth="1"/>
    <col min="4" max="7" width="11.421875" style="425" bestFit="1" customWidth="1"/>
    <col min="8" max="8" width="11.7109375" style="425" bestFit="1" customWidth="1"/>
    <col min="9" max="9" width="16.28125" style="425" customWidth="1"/>
    <col min="10" max="10" width="13.421875" style="425" bestFit="1" customWidth="1"/>
    <col min="11" max="11" width="15.57421875" style="425" bestFit="1" customWidth="1"/>
    <col min="12" max="12" width="15.28125" style="425" bestFit="1" customWidth="1"/>
    <col min="13" max="13" width="13.421875" style="425" bestFit="1" customWidth="1"/>
    <col min="14" max="14" width="15.00390625" style="425" bestFit="1" customWidth="1"/>
    <col min="15" max="15" width="11.421875" style="425" bestFit="1" customWidth="1"/>
    <col min="16" max="16" width="13.00390625" style="425" bestFit="1" customWidth="1"/>
    <col min="17" max="17" width="17.7109375" style="425" bestFit="1" customWidth="1"/>
    <col min="18" max="18" width="15.57421875" style="425" bestFit="1" customWidth="1"/>
    <col min="19" max="19" width="11.28125" style="425" hidden="1" customWidth="1"/>
    <col min="20" max="16384" width="9.140625" style="425" customWidth="1"/>
  </cols>
  <sheetData>
    <row r="1" spans="1:17" s="247" customFormat="1" ht="41.25" customHeight="1">
      <c r="A1" s="245"/>
      <c r="B1" s="475" t="s">
        <v>341</v>
      </c>
      <c r="C1" s="460"/>
      <c r="P1" s="474" t="s">
        <v>366</v>
      </c>
      <c r="Q1" s="473" t="s">
        <v>470</v>
      </c>
    </row>
    <row r="2" ht="41.25" customHeight="1"/>
    <row r="3" ht="41.25" customHeight="1">
      <c r="A3" s="472" t="s">
        <v>426</v>
      </c>
    </row>
    <row r="4" ht="41.25" customHeight="1">
      <c r="A4" s="472"/>
    </row>
    <row r="5" spans="1:3" s="444" customFormat="1" ht="41.25" customHeight="1">
      <c r="A5" s="471" t="s">
        <v>423</v>
      </c>
      <c r="B5" s="470"/>
      <c r="C5" s="469"/>
    </row>
    <row r="6" spans="1:19" s="444" customFormat="1" ht="41.25" customHeight="1">
      <c r="A6" s="462" t="s">
        <v>400</v>
      </c>
      <c r="B6" s="461" t="s">
        <v>401</v>
      </c>
      <c r="C6" s="462" t="s">
        <v>335</v>
      </c>
      <c r="D6" s="468" t="s">
        <v>408</v>
      </c>
      <c r="E6" s="468" t="s">
        <v>409</v>
      </c>
      <c r="F6" s="468" t="s">
        <v>410</v>
      </c>
      <c r="G6" s="468" t="s">
        <v>411</v>
      </c>
      <c r="H6" s="468" t="s">
        <v>412</v>
      </c>
      <c r="I6" s="468" t="s">
        <v>476</v>
      </c>
      <c r="J6" s="468" t="s">
        <v>477</v>
      </c>
      <c r="K6" s="468" t="s">
        <v>478</v>
      </c>
      <c r="L6" s="468" t="s">
        <v>479</v>
      </c>
      <c r="M6" s="468" t="s">
        <v>480</v>
      </c>
      <c r="N6" s="468" t="s">
        <v>481</v>
      </c>
      <c r="O6" s="468" t="s">
        <v>419</v>
      </c>
      <c r="P6" s="468" t="s">
        <v>381</v>
      </c>
      <c r="Q6" s="463" t="s">
        <v>402</v>
      </c>
      <c r="R6" s="463" t="s">
        <v>403</v>
      </c>
      <c r="S6" s="467" t="s">
        <v>404</v>
      </c>
    </row>
    <row r="7" spans="1:19" s="444" customFormat="1" ht="41.25" customHeight="1">
      <c r="A7" s="597">
        <v>1</v>
      </c>
      <c r="B7" s="598" t="s">
        <v>333</v>
      </c>
      <c r="C7" s="458" t="s">
        <v>436</v>
      </c>
      <c r="D7" s="457">
        <v>701.801074</v>
      </c>
      <c r="E7" s="457">
        <v>743.161296</v>
      </c>
      <c r="F7" s="457">
        <v>692.77914</v>
      </c>
      <c r="G7" s="457">
        <v>717.53503</v>
      </c>
      <c r="H7" s="457">
        <f>677.717+70.07</f>
        <v>747.787</v>
      </c>
      <c r="I7" s="457">
        <f>704.32+23.89</f>
        <v>728.21</v>
      </c>
      <c r="J7" s="457">
        <v>615.656</v>
      </c>
      <c r="K7" s="457">
        <v>588.09</v>
      </c>
      <c r="L7" s="457">
        <v>573.91</v>
      </c>
      <c r="M7" s="457">
        <v>605.87</v>
      </c>
      <c r="N7" s="457">
        <v>564.7</v>
      </c>
      <c r="O7" s="457">
        <v>697.64</v>
      </c>
      <c r="P7" s="457">
        <f aca="true" t="shared" si="0" ref="P7:P38">SUM(D7:O7)</f>
        <v>7977.13954</v>
      </c>
      <c r="Q7" s="457">
        <f aca="true" t="shared" si="1" ref="Q7:Q38">P7/12</f>
        <v>664.7616283333333</v>
      </c>
      <c r="R7" s="456">
        <f aca="true" t="shared" si="2" ref="R7:R38">MAX(D7:O7)</f>
        <v>747.787</v>
      </c>
      <c r="S7" s="443"/>
    </row>
    <row r="8" spans="1:19" s="444" customFormat="1" ht="41.25" customHeight="1">
      <c r="A8" s="597"/>
      <c r="B8" s="598"/>
      <c r="C8" s="458" t="s">
        <v>437</v>
      </c>
      <c r="D8" s="457">
        <v>761.631338</v>
      </c>
      <c r="E8" s="457">
        <v>788.702</v>
      </c>
      <c r="F8" s="457">
        <v>723.533418</v>
      </c>
      <c r="G8" s="457">
        <v>697.005808</v>
      </c>
      <c r="H8" s="457">
        <v>719.367658</v>
      </c>
      <c r="I8" s="457">
        <v>693.260486</v>
      </c>
      <c r="J8" s="457"/>
      <c r="K8" s="466"/>
      <c r="L8" s="466"/>
      <c r="M8" s="466"/>
      <c r="N8" s="466"/>
      <c r="O8" s="466"/>
      <c r="P8" s="457">
        <f t="shared" si="0"/>
        <v>4383.500708</v>
      </c>
      <c r="Q8" s="457">
        <f t="shared" si="1"/>
        <v>365.29172566666665</v>
      </c>
      <c r="R8" s="456">
        <f t="shared" si="2"/>
        <v>788.702</v>
      </c>
      <c r="S8" s="443"/>
    </row>
    <row r="9" spans="1:19" s="444" customFormat="1" ht="41.25" customHeight="1">
      <c r="A9" s="597"/>
      <c r="B9" s="598"/>
      <c r="C9" s="458" t="s">
        <v>438</v>
      </c>
      <c r="D9" s="464"/>
      <c r="E9" s="464"/>
      <c r="F9" s="464"/>
      <c r="G9" s="464"/>
      <c r="H9" s="464"/>
      <c r="I9" s="464"/>
      <c r="J9" s="464">
        <f>4656.5/182*31</f>
        <v>793.1401098901099</v>
      </c>
      <c r="K9" s="464">
        <f>4656.5/182*30</f>
        <v>767.554945054945</v>
      </c>
      <c r="L9" s="464">
        <f>4656.5/182*31</f>
        <v>793.1401098901099</v>
      </c>
      <c r="M9" s="464">
        <f>4656.5/182*31</f>
        <v>793.1401098901099</v>
      </c>
      <c r="N9" s="464">
        <f>4656.5/182*28</f>
        <v>716.3846153846154</v>
      </c>
      <c r="O9" s="464">
        <f>4656.5/182*31</f>
        <v>793.1401098901099</v>
      </c>
      <c r="P9" s="457">
        <f t="shared" si="0"/>
        <v>4656.499999999999</v>
      </c>
      <c r="Q9" s="457">
        <f t="shared" si="1"/>
        <v>388.0416666666666</v>
      </c>
      <c r="R9" s="456">
        <f t="shared" si="2"/>
        <v>793.1401098901099</v>
      </c>
      <c r="S9" s="443"/>
    </row>
    <row r="10" spans="1:19" s="444" customFormat="1" ht="41.25" customHeight="1">
      <c r="A10" s="597"/>
      <c r="B10" s="598"/>
      <c r="C10" s="458" t="s">
        <v>439</v>
      </c>
      <c r="D10" s="457">
        <f>9401/366*30</f>
        <v>770.5737704918032</v>
      </c>
      <c r="E10" s="457">
        <f>9401/366*31</f>
        <v>796.25956284153</v>
      </c>
      <c r="F10" s="457">
        <f>9401/366*30</f>
        <v>770.5737704918032</v>
      </c>
      <c r="G10" s="457">
        <f>9401/366*31</f>
        <v>796.25956284153</v>
      </c>
      <c r="H10" s="457">
        <f>9401/366*31</f>
        <v>796.25956284153</v>
      </c>
      <c r="I10" s="457">
        <f>9401/366*30</f>
        <v>770.5737704918032</v>
      </c>
      <c r="J10" s="457">
        <f>9401/366*31</f>
        <v>796.25956284153</v>
      </c>
      <c r="K10" s="457">
        <f>9401/366*30</f>
        <v>770.5737704918032</v>
      </c>
      <c r="L10" s="457">
        <f>9401/366*31</f>
        <v>796.25956284153</v>
      </c>
      <c r="M10" s="457">
        <f>9401/366*31</f>
        <v>796.25956284153</v>
      </c>
      <c r="N10" s="457">
        <f>9401/366*29</f>
        <v>744.8879781420765</v>
      </c>
      <c r="O10" s="457">
        <f>9401/366*31</f>
        <v>796.25956284153</v>
      </c>
      <c r="P10" s="457">
        <f t="shared" si="0"/>
        <v>9401</v>
      </c>
      <c r="Q10" s="457">
        <f t="shared" si="1"/>
        <v>783.4166666666666</v>
      </c>
      <c r="R10" s="456">
        <f t="shared" si="2"/>
        <v>796.25956284153</v>
      </c>
      <c r="S10" s="443"/>
    </row>
    <row r="11" spans="1:21" s="444" customFormat="1" ht="41.25" customHeight="1">
      <c r="A11" s="597">
        <v>2</v>
      </c>
      <c r="B11" s="598" t="s">
        <v>377</v>
      </c>
      <c r="C11" s="458" t="s">
        <v>436</v>
      </c>
      <c r="D11" s="457">
        <v>428.566687</v>
      </c>
      <c r="E11" s="457">
        <v>425.176648</v>
      </c>
      <c r="F11" s="457">
        <v>436.46</v>
      </c>
      <c r="G11" s="457">
        <v>474.088422</v>
      </c>
      <c r="H11" s="457">
        <v>468.58</v>
      </c>
      <c r="I11" s="457">
        <v>444.97</v>
      </c>
      <c r="J11" s="464">
        <v>387.149</v>
      </c>
      <c r="K11" s="457">
        <v>385.59</v>
      </c>
      <c r="L11" s="457">
        <v>406.8</v>
      </c>
      <c r="M11" s="457">
        <v>415.99</v>
      </c>
      <c r="N11" s="457">
        <v>345.55</v>
      </c>
      <c r="O11" s="457">
        <v>427.59</v>
      </c>
      <c r="P11" s="457">
        <f t="shared" si="0"/>
        <v>5046.510757000001</v>
      </c>
      <c r="Q11" s="457">
        <f t="shared" si="1"/>
        <v>420.5425630833334</v>
      </c>
      <c r="R11" s="456">
        <f t="shared" si="2"/>
        <v>474.088422</v>
      </c>
      <c r="S11" s="443">
        <f>AVERAGE(D11:O11)</f>
        <v>420.5425630833334</v>
      </c>
      <c r="U11" s="444">
        <v>4946.93</v>
      </c>
    </row>
    <row r="12" spans="1:21" s="444" customFormat="1" ht="41.25" customHeight="1">
      <c r="A12" s="597"/>
      <c r="B12" s="598"/>
      <c r="C12" s="458" t="s">
        <v>437</v>
      </c>
      <c r="D12" s="457">
        <v>425.109922</v>
      </c>
      <c r="E12" s="457">
        <v>414.880563</v>
      </c>
      <c r="F12" s="457">
        <v>391.798886</v>
      </c>
      <c r="G12" s="457">
        <v>398.216694</v>
      </c>
      <c r="H12" s="457">
        <v>447.333073</v>
      </c>
      <c r="I12" s="457">
        <v>423.845837</v>
      </c>
      <c r="J12" s="465"/>
      <c r="K12" s="464"/>
      <c r="L12" s="464"/>
      <c r="M12" s="464"/>
      <c r="N12" s="464"/>
      <c r="O12" s="464"/>
      <c r="P12" s="457">
        <f t="shared" si="0"/>
        <v>2501.184975</v>
      </c>
      <c r="Q12" s="457">
        <f t="shared" si="1"/>
        <v>208.43208125</v>
      </c>
      <c r="R12" s="456">
        <f t="shared" si="2"/>
        <v>447.333073</v>
      </c>
      <c r="S12" s="443"/>
      <c r="U12" s="444">
        <v>2930.66</v>
      </c>
    </row>
    <row r="13" spans="1:21" s="444" customFormat="1" ht="41.25" customHeight="1">
      <c r="A13" s="597"/>
      <c r="B13" s="598"/>
      <c r="C13" s="458" t="s">
        <v>438</v>
      </c>
      <c r="D13" s="464"/>
      <c r="E13" s="464"/>
      <c r="F13" s="464"/>
      <c r="G13" s="464"/>
      <c r="H13" s="464"/>
      <c r="I13" s="464"/>
      <c r="J13" s="464">
        <f>2828.82/182*31</f>
        <v>481.83197802197805</v>
      </c>
      <c r="K13" s="464">
        <f>2828.82/182*30</f>
        <v>466.28901098901105</v>
      </c>
      <c r="L13" s="464">
        <f>2828.82/182*31</f>
        <v>481.83197802197805</v>
      </c>
      <c r="M13" s="464">
        <f>2828.82/182*31</f>
        <v>481.83197802197805</v>
      </c>
      <c r="N13" s="464">
        <f>2828.82/182*28</f>
        <v>435.203076923077</v>
      </c>
      <c r="O13" s="464">
        <f>2828.82/182*31</f>
        <v>481.83197802197805</v>
      </c>
      <c r="P13" s="457">
        <f t="shared" si="0"/>
        <v>2828.82</v>
      </c>
      <c r="Q13" s="457">
        <f t="shared" si="1"/>
        <v>235.735</v>
      </c>
      <c r="R13" s="456">
        <f t="shared" si="2"/>
        <v>481.83197802197805</v>
      </c>
      <c r="S13" s="443"/>
      <c r="U13" s="444">
        <f>SUM(U11:U12)</f>
        <v>7877.59</v>
      </c>
    </row>
    <row r="14" spans="1:19" s="444" customFormat="1" ht="41.25" customHeight="1">
      <c r="A14" s="597"/>
      <c r="B14" s="598"/>
      <c r="C14" s="458" t="s">
        <v>439</v>
      </c>
      <c r="D14" s="457">
        <f>5625/366*30</f>
        <v>461.0655737704918</v>
      </c>
      <c r="E14" s="457">
        <f>5625/366*31</f>
        <v>476.4344262295082</v>
      </c>
      <c r="F14" s="457">
        <f>5625/366*30</f>
        <v>461.0655737704918</v>
      </c>
      <c r="G14" s="457">
        <f>5625/366*31</f>
        <v>476.4344262295082</v>
      </c>
      <c r="H14" s="457">
        <f>5625/366*31</f>
        <v>476.4344262295082</v>
      </c>
      <c r="I14" s="457">
        <f>5625/366*30</f>
        <v>461.0655737704918</v>
      </c>
      <c r="J14" s="457">
        <f>5625/366*31</f>
        <v>476.4344262295082</v>
      </c>
      <c r="K14" s="457">
        <f>5625/366*30</f>
        <v>461.0655737704918</v>
      </c>
      <c r="L14" s="457">
        <f>5625/366*31</f>
        <v>476.4344262295082</v>
      </c>
      <c r="M14" s="457">
        <f>5625/366*31</f>
        <v>476.4344262295082</v>
      </c>
      <c r="N14" s="457">
        <f>5625/366*29</f>
        <v>445.6967213114754</v>
      </c>
      <c r="O14" s="457">
        <f>5625/366*31</f>
        <v>476.4344262295082</v>
      </c>
      <c r="P14" s="457">
        <f>SUM(D14:O14)</f>
        <v>5625</v>
      </c>
      <c r="Q14" s="457">
        <f t="shared" si="1"/>
        <v>468.75</v>
      </c>
      <c r="R14" s="456">
        <f t="shared" si="2"/>
        <v>476.4344262295082</v>
      </c>
      <c r="S14" s="443"/>
    </row>
    <row r="15" spans="1:19" s="444" customFormat="1" ht="41.25" customHeight="1">
      <c r="A15" s="597">
        <v>3</v>
      </c>
      <c r="B15" s="598" t="s">
        <v>378</v>
      </c>
      <c r="C15" s="458" t="s">
        <v>436</v>
      </c>
      <c r="D15" s="457">
        <v>546.11</v>
      </c>
      <c r="E15" s="457">
        <v>567.12</v>
      </c>
      <c r="F15" s="457">
        <v>512.001945</v>
      </c>
      <c r="G15" s="457">
        <v>558.323342</v>
      </c>
      <c r="H15" s="457">
        <v>555.119464</v>
      </c>
      <c r="I15" s="457">
        <v>573.302906</v>
      </c>
      <c r="J15" s="464">
        <v>556.096</v>
      </c>
      <c r="K15" s="457">
        <v>526.57</v>
      </c>
      <c r="L15" s="457">
        <v>539.26</v>
      </c>
      <c r="M15" s="457">
        <v>567.04</v>
      </c>
      <c r="N15" s="457">
        <v>515.82</v>
      </c>
      <c r="O15" s="457">
        <v>601.03</v>
      </c>
      <c r="P15" s="457">
        <f t="shared" si="0"/>
        <v>6617.793656999999</v>
      </c>
      <c r="Q15" s="457">
        <f t="shared" si="1"/>
        <v>551.4828047499999</v>
      </c>
      <c r="R15" s="456">
        <f t="shared" si="2"/>
        <v>601.03</v>
      </c>
      <c r="S15" s="443"/>
    </row>
    <row r="16" spans="1:19" s="444" customFormat="1" ht="41.25" customHeight="1">
      <c r="A16" s="597"/>
      <c r="B16" s="598"/>
      <c r="C16" s="458" t="s">
        <v>437</v>
      </c>
      <c r="D16" s="457">
        <v>597.75709</v>
      </c>
      <c r="E16" s="457">
        <v>636.485482</v>
      </c>
      <c r="F16" s="457">
        <v>582.246515</v>
      </c>
      <c r="G16" s="457">
        <v>546.268752</v>
      </c>
      <c r="H16" s="457">
        <v>582.061894</v>
      </c>
      <c r="I16" s="457">
        <v>612.083692</v>
      </c>
      <c r="J16" s="465"/>
      <c r="K16" s="464"/>
      <c r="L16" s="464"/>
      <c r="M16" s="464"/>
      <c r="N16" s="464"/>
      <c r="O16" s="464"/>
      <c r="P16" s="457">
        <f t="shared" si="0"/>
        <v>3556.903425</v>
      </c>
      <c r="Q16" s="457">
        <f t="shared" si="1"/>
        <v>296.40861875</v>
      </c>
      <c r="R16" s="456">
        <f t="shared" si="2"/>
        <v>636.485482</v>
      </c>
      <c r="S16" s="443"/>
    </row>
    <row r="17" spans="1:19" s="444" customFormat="1" ht="41.25" customHeight="1">
      <c r="A17" s="597"/>
      <c r="B17" s="598"/>
      <c r="C17" s="458" t="s">
        <v>438</v>
      </c>
      <c r="D17" s="464"/>
      <c r="E17" s="464"/>
      <c r="F17" s="464"/>
      <c r="G17" s="464"/>
      <c r="H17" s="464"/>
      <c r="I17" s="464"/>
      <c r="J17" s="464">
        <f>3263.1/182*31</f>
        <v>555.8027472527473</v>
      </c>
      <c r="K17" s="464">
        <f>3263.1/182*30</f>
        <v>537.8736263736264</v>
      </c>
      <c r="L17" s="464">
        <f>3263.1/182*31</f>
        <v>555.8027472527473</v>
      </c>
      <c r="M17" s="464">
        <f>3263.1/182*31</f>
        <v>555.8027472527473</v>
      </c>
      <c r="N17" s="464">
        <f>3263.1/182*28</f>
        <v>502.0153846153846</v>
      </c>
      <c r="O17" s="464">
        <f>3263.1/182*31</f>
        <v>555.8027472527473</v>
      </c>
      <c r="P17" s="457">
        <f t="shared" si="0"/>
        <v>3263.1000000000004</v>
      </c>
      <c r="Q17" s="457">
        <f t="shared" si="1"/>
        <v>271.925</v>
      </c>
      <c r="R17" s="456">
        <f t="shared" si="2"/>
        <v>555.8027472527473</v>
      </c>
      <c r="S17" s="443"/>
    </row>
    <row r="18" spans="1:19" s="444" customFormat="1" ht="41.25" customHeight="1">
      <c r="A18" s="597"/>
      <c r="B18" s="598"/>
      <c r="C18" s="458" t="s">
        <v>439</v>
      </c>
      <c r="D18" s="457">
        <f>7500/366*30</f>
        <v>614.7540983606558</v>
      </c>
      <c r="E18" s="457">
        <f>7500/366*31</f>
        <v>635.2459016393443</v>
      </c>
      <c r="F18" s="457">
        <f>7500/366*30</f>
        <v>614.7540983606558</v>
      </c>
      <c r="G18" s="457">
        <f>7500/366*31</f>
        <v>635.2459016393443</v>
      </c>
      <c r="H18" s="457">
        <f>7500/366*31</f>
        <v>635.2459016393443</v>
      </c>
      <c r="I18" s="457">
        <f>7500/366*30</f>
        <v>614.7540983606558</v>
      </c>
      <c r="J18" s="457">
        <f>7500/366*31</f>
        <v>635.2459016393443</v>
      </c>
      <c r="K18" s="457">
        <f>7500/366*30</f>
        <v>614.7540983606558</v>
      </c>
      <c r="L18" s="457">
        <f>7500/366*31</f>
        <v>635.2459016393443</v>
      </c>
      <c r="M18" s="457">
        <f>7500/366*31</f>
        <v>635.2459016393443</v>
      </c>
      <c r="N18" s="457">
        <f>7500/366*29</f>
        <v>594.2622950819673</v>
      </c>
      <c r="O18" s="457">
        <f>7500/366*31</f>
        <v>635.2459016393443</v>
      </c>
      <c r="P18" s="457">
        <f>SUM(D18:O18)</f>
        <v>7500</v>
      </c>
      <c r="Q18" s="457">
        <f t="shared" si="1"/>
        <v>625</v>
      </c>
      <c r="R18" s="456">
        <f t="shared" si="2"/>
        <v>635.2459016393443</v>
      </c>
      <c r="S18" s="443">
        <f>AVERAGE(D18:H18)</f>
        <v>627.0491803278688</v>
      </c>
    </row>
    <row r="19" spans="1:19" s="444" customFormat="1" ht="41.25" customHeight="1">
      <c r="A19" s="597">
        <v>4</v>
      </c>
      <c r="B19" s="598" t="s">
        <v>379</v>
      </c>
      <c r="C19" s="458" t="s">
        <v>436</v>
      </c>
      <c r="D19" s="457">
        <v>256.08</v>
      </c>
      <c r="E19" s="457">
        <v>267.232395</v>
      </c>
      <c r="F19" s="457">
        <v>243.698132</v>
      </c>
      <c r="G19" s="457">
        <v>265.774</v>
      </c>
      <c r="H19" s="457">
        <v>271.59</v>
      </c>
      <c r="I19" s="457">
        <v>263.63</v>
      </c>
      <c r="J19" s="464">
        <v>174.218293</v>
      </c>
      <c r="K19" s="457">
        <v>187.05</v>
      </c>
      <c r="L19" s="457">
        <v>228.16</v>
      </c>
      <c r="M19" s="457">
        <v>254.72</v>
      </c>
      <c r="N19" s="457">
        <v>232.36</v>
      </c>
      <c r="O19" s="457">
        <v>277.41</v>
      </c>
      <c r="P19" s="457">
        <f t="shared" si="0"/>
        <v>2921.9228199999993</v>
      </c>
      <c r="Q19" s="457">
        <f t="shared" si="1"/>
        <v>243.4935683333333</v>
      </c>
      <c r="R19" s="456">
        <f t="shared" si="2"/>
        <v>277.41</v>
      </c>
      <c r="S19" s="443"/>
    </row>
    <row r="20" spans="1:19" s="444" customFormat="1" ht="41.25" customHeight="1">
      <c r="A20" s="597"/>
      <c r="B20" s="598"/>
      <c r="C20" s="458" t="s">
        <v>437</v>
      </c>
      <c r="D20" s="457">
        <v>286.06156</v>
      </c>
      <c r="E20" s="457">
        <v>281.997</v>
      </c>
      <c r="F20" s="457">
        <v>264.147923</v>
      </c>
      <c r="G20" s="457">
        <v>252.703667</v>
      </c>
      <c r="H20" s="457">
        <v>267.643137</v>
      </c>
      <c r="I20" s="457">
        <v>264.707794</v>
      </c>
      <c r="K20" s="464"/>
      <c r="L20" s="464"/>
      <c r="M20" s="464"/>
      <c r="N20" s="464"/>
      <c r="O20" s="464"/>
      <c r="P20" s="457">
        <f t="shared" si="0"/>
        <v>1617.2610809999999</v>
      </c>
      <c r="Q20" s="457">
        <f t="shared" si="1"/>
        <v>134.77175674999998</v>
      </c>
      <c r="R20" s="456">
        <f t="shared" si="2"/>
        <v>286.06156</v>
      </c>
      <c r="S20" s="443"/>
    </row>
    <row r="21" spans="1:19" s="444" customFormat="1" ht="41.25" customHeight="1">
      <c r="A21" s="597"/>
      <c r="B21" s="598"/>
      <c r="C21" s="458" t="s">
        <v>438</v>
      </c>
      <c r="D21" s="464"/>
      <c r="E21" s="464"/>
      <c r="F21" s="464"/>
      <c r="G21" s="464"/>
      <c r="H21" s="464"/>
      <c r="I21" s="464"/>
      <c r="J21" s="464">
        <f>1722.74/182*31</f>
        <v>293.4337362637363</v>
      </c>
      <c r="K21" s="464">
        <f>1722.74/182*30</f>
        <v>283.9681318681319</v>
      </c>
      <c r="L21" s="464">
        <f>1722.74/182*31</f>
        <v>293.4337362637363</v>
      </c>
      <c r="M21" s="464">
        <f>1722.74/182*31</f>
        <v>293.4337362637363</v>
      </c>
      <c r="N21" s="464">
        <f>1722.74/182*28</f>
        <v>265.0369230769231</v>
      </c>
      <c r="O21" s="464">
        <f>1722.74/182*31</f>
        <v>293.4337362637363</v>
      </c>
      <c r="P21" s="457">
        <f t="shared" si="0"/>
        <v>1722.7400000000005</v>
      </c>
      <c r="Q21" s="457">
        <f t="shared" si="1"/>
        <v>143.5616666666667</v>
      </c>
      <c r="R21" s="456">
        <f t="shared" si="2"/>
        <v>293.4337362637363</v>
      </c>
      <c r="S21" s="443" t="e">
        <f>AVERAGE(D21:H21)</f>
        <v>#DIV/0!</v>
      </c>
    </row>
    <row r="22" spans="1:19" ht="41.25" customHeight="1">
      <c r="A22" s="597"/>
      <c r="B22" s="598"/>
      <c r="C22" s="458" t="s">
        <v>439</v>
      </c>
      <c r="D22" s="457">
        <f>3630/366*30</f>
        <v>297.54098360655735</v>
      </c>
      <c r="E22" s="457">
        <f>3630/366*31</f>
        <v>307.4590163934426</v>
      </c>
      <c r="F22" s="457">
        <f>3630/366*30</f>
        <v>297.54098360655735</v>
      </c>
      <c r="G22" s="457">
        <f>3630/366*31</f>
        <v>307.4590163934426</v>
      </c>
      <c r="H22" s="457">
        <f>3630/366*31</f>
        <v>307.4590163934426</v>
      </c>
      <c r="I22" s="457">
        <f>3630/366*30</f>
        <v>297.54098360655735</v>
      </c>
      <c r="J22" s="457">
        <f>3630/366*31</f>
        <v>307.4590163934426</v>
      </c>
      <c r="K22" s="457">
        <f>3630/366*30</f>
        <v>297.54098360655735</v>
      </c>
      <c r="L22" s="457">
        <f>3630/366*31</f>
        <v>307.4590163934426</v>
      </c>
      <c r="M22" s="457">
        <f>3630/366*31</f>
        <v>307.4590163934426</v>
      </c>
      <c r="N22" s="457">
        <f>3630/366*29</f>
        <v>287.6229508196721</v>
      </c>
      <c r="O22" s="457">
        <f>3630/366*31</f>
        <v>307.4590163934426</v>
      </c>
      <c r="P22" s="457">
        <f>SUM(D22:O22)</f>
        <v>3630</v>
      </c>
      <c r="Q22" s="457">
        <f t="shared" si="1"/>
        <v>302.5</v>
      </c>
      <c r="R22" s="456">
        <f t="shared" si="2"/>
        <v>307.4590163934426</v>
      </c>
      <c r="S22" s="443"/>
    </row>
    <row r="23" spans="1:19" ht="41.25" customHeight="1">
      <c r="A23" s="597">
        <v>5</v>
      </c>
      <c r="B23" s="600" t="s">
        <v>334</v>
      </c>
      <c r="C23" s="598" t="s">
        <v>436</v>
      </c>
      <c r="D23" s="457">
        <f aca="true" t="shared" si="3" ref="D23:O23">D7+D11+D15+D19</f>
        <v>1932.557761</v>
      </c>
      <c r="E23" s="457">
        <f t="shared" si="3"/>
        <v>2002.6903389999998</v>
      </c>
      <c r="F23" s="457">
        <f t="shared" si="3"/>
        <v>1884.9392169999999</v>
      </c>
      <c r="G23" s="457">
        <f t="shared" si="3"/>
        <v>2015.7207939999998</v>
      </c>
      <c r="H23" s="457">
        <f t="shared" si="3"/>
        <v>2043.076464</v>
      </c>
      <c r="I23" s="457">
        <f t="shared" si="3"/>
        <v>2010.1129060000003</v>
      </c>
      <c r="J23" s="457">
        <f t="shared" si="3"/>
        <v>1733.1192929999997</v>
      </c>
      <c r="K23" s="457">
        <f t="shared" si="3"/>
        <v>1687.3</v>
      </c>
      <c r="L23" s="457">
        <f t="shared" si="3"/>
        <v>1748.13</v>
      </c>
      <c r="M23" s="457">
        <f t="shared" si="3"/>
        <v>1843.6200000000001</v>
      </c>
      <c r="N23" s="457">
        <f t="shared" si="3"/>
        <v>1658.4300000000003</v>
      </c>
      <c r="O23" s="457">
        <f t="shared" si="3"/>
        <v>2003.67</v>
      </c>
      <c r="P23" s="457">
        <f t="shared" si="0"/>
        <v>22563.366774000002</v>
      </c>
      <c r="Q23" s="457">
        <f t="shared" si="1"/>
        <v>1880.2805645</v>
      </c>
      <c r="R23" s="456">
        <f t="shared" si="2"/>
        <v>2043.076464</v>
      </c>
      <c r="S23" s="443"/>
    </row>
    <row r="24" spans="1:19" ht="41.25" customHeight="1">
      <c r="A24" s="597"/>
      <c r="B24" s="600"/>
      <c r="C24" s="598" t="s">
        <v>437</v>
      </c>
      <c r="D24" s="457">
        <f>D8+D12+D16+D20</f>
        <v>2070.55991</v>
      </c>
      <c r="E24" s="457">
        <f aca="true" t="shared" si="4" ref="E24:J24">E8+E11+E15+E19</f>
        <v>2048.2310429999998</v>
      </c>
      <c r="F24" s="457">
        <f t="shared" si="4"/>
        <v>1915.693495</v>
      </c>
      <c r="G24" s="457">
        <f t="shared" si="4"/>
        <v>1995.1915719999997</v>
      </c>
      <c r="H24" s="457">
        <f t="shared" si="4"/>
        <v>2014.6571219999998</v>
      </c>
      <c r="I24" s="457">
        <f t="shared" si="4"/>
        <v>1975.163392</v>
      </c>
      <c r="J24" s="457">
        <f t="shared" si="4"/>
        <v>1117.463293</v>
      </c>
      <c r="K24" s="457">
        <f aca="true" t="shared" si="5" ref="K24:O26">K8+K12+K16+K20</f>
        <v>0</v>
      </c>
      <c r="L24" s="457">
        <f t="shared" si="5"/>
        <v>0</v>
      </c>
      <c r="M24" s="457">
        <f t="shared" si="5"/>
        <v>0</v>
      </c>
      <c r="N24" s="457">
        <f t="shared" si="5"/>
        <v>0</v>
      </c>
      <c r="O24" s="457">
        <f t="shared" si="5"/>
        <v>0</v>
      </c>
      <c r="P24" s="457">
        <f t="shared" si="0"/>
        <v>13136.959827</v>
      </c>
      <c r="Q24" s="457">
        <f t="shared" si="1"/>
        <v>1094.7466522500001</v>
      </c>
      <c r="R24" s="456">
        <f t="shared" si="2"/>
        <v>2070.55991</v>
      </c>
      <c r="S24" s="443">
        <f>AVERAGE(D24:H24)</f>
        <v>2008.8666283999999</v>
      </c>
    </row>
    <row r="25" spans="1:19" ht="41.25" customHeight="1">
      <c r="A25" s="597"/>
      <c r="B25" s="600"/>
      <c r="C25" s="598" t="s">
        <v>438</v>
      </c>
      <c r="D25" s="457">
        <f>D9+D13+D17+D21</f>
        <v>0</v>
      </c>
      <c r="E25" s="457">
        <f aca="true" t="shared" si="6" ref="E25:J26">E9+E13+E17+E21</f>
        <v>0</v>
      </c>
      <c r="F25" s="457">
        <f t="shared" si="6"/>
        <v>0</v>
      </c>
      <c r="G25" s="457">
        <f t="shared" si="6"/>
        <v>0</v>
      </c>
      <c r="H25" s="457">
        <f t="shared" si="6"/>
        <v>0</v>
      </c>
      <c r="I25" s="457">
        <f t="shared" si="6"/>
        <v>0</v>
      </c>
      <c r="J25" s="457">
        <f t="shared" si="6"/>
        <v>2124.2085714285713</v>
      </c>
      <c r="K25" s="457">
        <f t="shared" si="5"/>
        <v>2055.6857142857143</v>
      </c>
      <c r="L25" s="457">
        <f t="shared" si="5"/>
        <v>2124.2085714285713</v>
      </c>
      <c r="M25" s="457">
        <f t="shared" si="5"/>
        <v>2124.2085714285713</v>
      </c>
      <c r="N25" s="457">
        <f t="shared" si="5"/>
        <v>1918.64</v>
      </c>
      <c r="O25" s="457">
        <f t="shared" si="5"/>
        <v>2124.2085714285713</v>
      </c>
      <c r="P25" s="457">
        <f t="shared" si="0"/>
        <v>12471.16</v>
      </c>
      <c r="Q25" s="457">
        <f t="shared" si="1"/>
        <v>1039.2633333333333</v>
      </c>
      <c r="R25" s="456">
        <f t="shared" si="2"/>
        <v>2124.2085714285713</v>
      </c>
      <c r="S25" s="443"/>
    </row>
    <row r="26" spans="1:19" ht="45" customHeight="1">
      <c r="A26" s="597"/>
      <c r="B26" s="600"/>
      <c r="C26" s="598" t="s">
        <v>439</v>
      </c>
      <c r="D26" s="457">
        <f>D10+D14+D18+D22</f>
        <v>2143.934426229508</v>
      </c>
      <c r="E26" s="457">
        <f t="shared" si="6"/>
        <v>2215.398907103825</v>
      </c>
      <c r="F26" s="457">
        <f t="shared" si="6"/>
        <v>2143.934426229508</v>
      </c>
      <c r="G26" s="457">
        <f t="shared" si="6"/>
        <v>2215.398907103825</v>
      </c>
      <c r="H26" s="457">
        <f t="shared" si="6"/>
        <v>2215.398907103825</v>
      </c>
      <c r="I26" s="457">
        <f t="shared" si="6"/>
        <v>2143.934426229508</v>
      </c>
      <c r="J26" s="457">
        <f t="shared" si="6"/>
        <v>2215.398907103825</v>
      </c>
      <c r="K26" s="457">
        <f t="shared" si="5"/>
        <v>2143.934426229508</v>
      </c>
      <c r="L26" s="457">
        <f t="shared" si="5"/>
        <v>2215.398907103825</v>
      </c>
      <c r="M26" s="457">
        <f t="shared" si="5"/>
        <v>2215.398907103825</v>
      </c>
      <c r="N26" s="457">
        <f t="shared" si="5"/>
        <v>2072.469945355191</v>
      </c>
      <c r="O26" s="457">
        <f t="shared" si="5"/>
        <v>2215.398907103825</v>
      </c>
      <c r="P26" s="457">
        <f t="shared" si="0"/>
        <v>26156</v>
      </c>
      <c r="Q26" s="457">
        <f t="shared" si="1"/>
        <v>2179.6666666666665</v>
      </c>
      <c r="R26" s="456">
        <f t="shared" si="2"/>
        <v>2215.398907103825</v>
      </c>
      <c r="S26" s="443"/>
    </row>
    <row r="27" spans="1:19" ht="3.75" customHeight="1" hidden="1">
      <c r="A27" s="245"/>
      <c r="B27" s="459"/>
      <c r="C27" s="460"/>
      <c r="D27" s="457"/>
      <c r="E27" s="457"/>
      <c r="F27" s="457"/>
      <c r="G27" s="457"/>
      <c r="H27" s="457"/>
      <c r="I27" s="457"/>
      <c r="J27" s="457"/>
      <c r="K27" s="457"/>
      <c r="L27" s="457"/>
      <c r="M27" s="457"/>
      <c r="N27" s="457"/>
      <c r="O27" s="457"/>
      <c r="P27" s="457">
        <f t="shared" si="0"/>
        <v>0</v>
      </c>
      <c r="Q27" s="457">
        <f t="shared" si="1"/>
        <v>0</v>
      </c>
      <c r="R27" s="456">
        <f t="shared" si="2"/>
        <v>0</v>
      </c>
      <c r="S27" s="443"/>
    </row>
    <row r="28" spans="1:19" ht="18">
      <c r="A28" s="595">
        <v>6</v>
      </c>
      <c r="B28" s="598" t="s">
        <v>336</v>
      </c>
      <c r="C28" s="458" t="s">
        <v>436</v>
      </c>
      <c r="D28" s="457">
        <v>0.562</v>
      </c>
      <c r="E28" s="457">
        <v>0.59</v>
      </c>
      <c r="F28" s="457">
        <v>0.57</v>
      </c>
      <c r="G28" s="457">
        <v>0.612</v>
      </c>
      <c r="H28" s="457">
        <v>0.502</v>
      </c>
      <c r="I28" s="457">
        <v>0.461</v>
      </c>
      <c r="J28" s="457">
        <v>0</v>
      </c>
      <c r="K28" s="457">
        <v>0</v>
      </c>
      <c r="L28" s="457">
        <v>0</v>
      </c>
      <c r="M28" s="457">
        <v>0</v>
      </c>
      <c r="N28" s="457">
        <v>0</v>
      </c>
      <c r="O28" s="457">
        <v>0.001</v>
      </c>
      <c r="P28" s="457">
        <f t="shared" si="0"/>
        <v>3.298</v>
      </c>
      <c r="Q28" s="457">
        <f t="shared" si="1"/>
        <v>0.2748333333333333</v>
      </c>
      <c r="R28" s="456">
        <f t="shared" si="2"/>
        <v>0.612</v>
      </c>
      <c r="S28" s="443">
        <f>AVERAGE(D28:H28)</f>
        <v>0.5672</v>
      </c>
    </row>
    <row r="29" spans="1:19" ht="36">
      <c r="A29" s="595"/>
      <c r="B29" s="598"/>
      <c r="C29" s="458" t="s">
        <v>437</v>
      </c>
      <c r="D29" s="457">
        <v>0</v>
      </c>
      <c r="E29" s="457">
        <v>0</v>
      </c>
      <c r="F29" s="457">
        <v>0</v>
      </c>
      <c r="G29" s="457">
        <v>0</v>
      </c>
      <c r="H29" s="457">
        <v>0</v>
      </c>
      <c r="I29" s="457">
        <v>0</v>
      </c>
      <c r="J29" s="457"/>
      <c r="K29" s="457"/>
      <c r="L29" s="457"/>
      <c r="M29" s="457"/>
      <c r="N29" s="457"/>
      <c r="O29" s="457"/>
      <c r="P29" s="457">
        <f t="shared" si="0"/>
        <v>0</v>
      </c>
      <c r="Q29" s="457">
        <f t="shared" si="1"/>
        <v>0</v>
      </c>
      <c r="R29" s="456">
        <f t="shared" si="2"/>
        <v>0</v>
      </c>
      <c r="S29" s="443"/>
    </row>
    <row r="30" spans="1:19" ht="36">
      <c r="A30" s="595"/>
      <c r="B30" s="598"/>
      <c r="C30" s="458" t="s">
        <v>438</v>
      </c>
      <c r="D30" s="457"/>
      <c r="E30" s="457"/>
      <c r="F30" s="457"/>
      <c r="G30" s="457"/>
      <c r="H30" s="457"/>
      <c r="I30" s="457"/>
      <c r="J30" s="457">
        <f aca="true" t="shared" si="7" ref="J30:O30">1/6</f>
        <v>0.16666666666666666</v>
      </c>
      <c r="K30" s="457">
        <f t="shared" si="7"/>
        <v>0.16666666666666666</v>
      </c>
      <c r="L30" s="457">
        <f t="shared" si="7"/>
        <v>0.16666666666666666</v>
      </c>
      <c r="M30" s="457">
        <f t="shared" si="7"/>
        <v>0.16666666666666666</v>
      </c>
      <c r="N30" s="457">
        <f t="shared" si="7"/>
        <v>0.16666666666666666</v>
      </c>
      <c r="O30" s="457">
        <f t="shared" si="7"/>
        <v>0.16666666666666666</v>
      </c>
      <c r="P30" s="457">
        <f t="shared" si="0"/>
        <v>0.9999999999999999</v>
      </c>
      <c r="Q30" s="457">
        <f t="shared" si="1"/>
        <v>0.08333333333333333</v>
      </c>
      <c r="R30" s="456">
        <f t="shared" si="2"/>
        <v>0.16666666666666666</v>
      </c>
      <c r="S30" s="443"/>
    </row>
    <row r="31" spans="1:19" ht="18">
      <c r="A31" s="595"/>
      <c r="B31" s="598"/>
      <c r="C31" s="458" t="s">
        <v>439</v>
      </c>
      <c r="D31" s="457">
        <f>(10*80%)/12</f>
        <v>0.6666666666666666</v>
      </c>
      <c r="E31" s="457">
        <f aca="true" t="shared" si="8" ref="E31:O31">(10*80%)/12</f>
        <v>0.6666666666666666</v>
      </c>
      <c r="F31" s="457">
        <f t="shared" si="8"/>
        <v>0.6666666666666666</v>
      </c>
      <c r="G31" s="457">
        <f t="shared" si="8"/>
        <v>0.6666666666666666</v>
      </c>
      <c r="H31" s="457">
        <f t="shared" si="8"/>
        <v>0.6666666666666666</v>
      </c>
      <c r="I31" s="457">
        <f t="shared" si="8"/>
        <v>0.6666666666666666</v>
      </c>
      <c r="J31" s="457">
        <f t="shared" si="8"/>
        <v>0.6666666666666666</v>
      </c>
      <c r="K31" s="457">
        <f t="shared" si="8"/>
        <v>0.6666666666666666</v>
      </c>
      <c r="L31" s="457">
        <f t="shared" si="8"/>
        <v>0.6666666666666666</v>
      </c>
      <c r="M31" s="457">
        <f t="shared" si="8"/>
        <v>0.6666666666666666</v>
      </c>
      <c r="N31" s="457">
        <f t="shared" si="8"/>
        <v>0.6666666666666666</v>
      </c>
      <c r="O31" s="457">
        <f t="shared" si="8"/>
        <v>0.6666666666666666</v>
      </c>
      <c r="P31" s="457">
        <f>SUM(D31:O31)</f>
        <v>8</v>
      </c>
      <c r="Q31" s="457">
        <f t="shared" si="1"/>
        <v>0.6666666666666666</v>
      </c>
      <c r="R31" s="456">
        <f>MAX(D31:O31)</f>
        <v>0.6666666666666666</v>
      </c>
      <c r="S31" s="443"/>
    </row>
    <row r="32" spans="1:19" ht="18">
      <c r="A32" s="595">
        <v>7</v>
      </c>
      <c r="B32" s="598" t="s">
        <v>339</v>
      </c>
      <c r="C32" s="458" t="s">
        <v>436</v>
      </c>
      <c r="D32" s="457">
        <v>0</v>
      </c>
      <c r="E32" s="457">
        <v>0</v>
      </c>
      <c r="F32" s="457">
        <v>0</v>
      </c>
      <c r="G32" s="457">
        <v>0</v>
      </c>
      <c r="H32" s="457">
        <v>0</v>
      </c>
      <c r="I32" s="457">
        <v>0</v>
      </c>
      <c r="J32" s="457">
        <v>0</v>
      </c>
      <c r="K32" s="457">
        <v>0</v>
      </c>
      <c r="L32" s="457">
        <v>0</v>
      </c>
      <c r="M32" s="457">
        <v>0</v>
      </c>
      <c r="N32" s="457">
        <v>0</v>
      </c>
      <c r="O32" s="457">
        <v>0</v>
      </c>
      <c r="P32" s="457">
        <f t="shared" si="0"/>
        <v>0</v>
      </c>
      <c r="Q32" s="457">
        <f t="shared" si="1"/>
        <v>0</v>
      </c>
      <c r="R32" s="456">
        <f t="shared" si="2"/>
        <v>0</v>
      </c>
      <c r="S32" s="443"/>
    </row>
    <row r="33" spans="1:19" ht="36">
      <c r="A33" s="595"/>
      <c r="B33" s="598"/>
      <c r="C33" s="458" t="s">
        <v>437</v>
      </c>
      <c r="D33" s="457">
        <v>0</v>
      </c>
      <c r="E33" s="457">
        <v>0</v>
      </c>
      <c r="F33" s="457">
        <v>0</v>
      </c>
      <c r="G33" s="457">
        <v>0</v>
      </c>
      <c r="H33" s="457">
        <v>0</v>
      </c>
      <c r="I33" s="457">
        <v>0</v>
      </c>
      <c r="J33" s="457"/>
      <c r="K33" s="457"/>
      <c r="L33" s="457"/>
      <c r="M33" s="457"/>
      <c r="N33" s="457"/>
      <c r="O33" s="457"/>
      <c r="P33" s="457">
        <f t="shared" si="0"/>
        <v>0</v>
      </c>
      <c r="Q33" s="457">
        <f t="shared" si="1"/>
        <v>0</v>
      </c>
      <c r="R33" s="456">
        <f t="shared" si="2"/>
        <v>0</v>
      </c>
      <c r="S33" s="443"/>
    </row>
    <row r="34" spans="1:19" ht="36">
      <c r="A34" s="595"/>
      <c r="B34" s="598"/>
      <c r="C34" s="458" t="s">
        <v>438</v>
      </c>
      <c r="D34" s="457"/>
      <c r="E34" s="457"/>
      <c r="F34" s="457"/>
      <c r="G34" s="457"/>
      <c r="H34" s="457"/>
      <c r="I34" s="457"/>
      <c r="J34" s="457"/>
      <c r="K34" s="457"/>
      <c r="L34" s="457"/>
      <c r="M34" s="457"/>
      <c r="N34" s="457"/>
      <c r="O34" s="457"/>
      <c r="P34" s="457">
        <f t="shared" si="0"/>
        <v>0</v>
      </c>
      <c r="Q34" s="457">
        <f t="shared" si="1"/>
        <v>0</v>
      </c>
      <c r="R34" s="456">
        <f t="shared" si="2"/>
        <v>0</v>
      </c>
      <c r="S34" s="443"/>
    </row>
    <row r="35" spans="1:19" ht="18">
      <c r="A35" s="595"/>
      <c r="B35" s="598"/>
      <c r="C35" s="458" t="s">
        <v>439</v>
      </c>
      <c r="D35" s="457">
        <f aca="true" t="shared" si="9" ref="D35:O35">(10*20%)/12</f>
        <v>0.16666666666666666</v>
      </c>
      <c r="E35" s="457">
        <f t="shared" si="9"/>
        <v>0.16666666666666666</v>
      </c>
      <c r="F35" s="457">
        <f t="shared" si="9"/>
        <v>0.16666666666666666</v>
      </c>
      <c r="G35" s="457">
        <f t="shared" si="9"/>
        <v>0.16666666666666666</v>
      </c>
      <c r="H35" s="457">
        <f t="shared" si="9"/>
        <v>0.16666666666666666</v>
      </c>
      <c r="I35" s="457">
        <f t="shared" si="9"/>
        <v>0.16666666666666666</v>
      </c>
      <c r="J35" s="457">
        <f t="shared" si="9"/>
        <v>0.16666666666666666</v>
      </c>
      <c r="K35" s="457">
        <f t="shared" si="9"/>
        <v>0.16666666666666666</v>
      </c>
      <c r="L35" s="457">
        <f t="shared" si="9"/>
        <v>0.16666666666666666</v>
      </c>
      <c r="M35" s="457">
        <f t="shared" si="9"/>
        <v>0.16666666666666666</v>
      </c>
      <c r="N35" s="457">
        <f t="shared" si="9"/>
        <v>0.16666666666666666</v>
      </c>
      <c r="O35" s="457">
        <f t="shared" si="9"/>
        <v>0.16666666666666666</v>
      </c>
      <c r="P35" s="457">
        <f t="shared" si="0"/>
        <v>2</v>
      </c>
      <c r="Q35" s="457">
        <f t="shared" si="1"/>
        <v>0.16666666666666666</v>
      </c>
      <c r="R35" s="456">
        <f t="shared" si="2"/>
        <v>0.16666666666666666</v>
      </c>
      <c r="S35" s="443"/>
    </row>
    <row r="36" spans="1:19" ht="18">
      <c r="A36" s="595">
        <v>8</v>
      </c>
      <c r="B36" s="598" t="s">
        <v>599</v>
      </c>
      <c r="C36" s="458" t="s">
        <v>436</v>
      </c>
      <c r="D36" s="457">
        <v>0.057</v>
      </c>
      <c r="E36" s="457">
        <v>0</v>
      </c>
      <c r="F36" s="457">
        <v>0</v>
      </c>
      <c r="G36" s="457">
        <v>0</v>
      </c>
      <c r="H36" s="457">
        <v>0</v>
      </c>
      <c r="I36" s="457">
        <v>0</v>
      </c>
      <c r="J36" s="457">
        <v>0</v>
      </c>
      <c r="K36" s="457">
        <v>0</v>
      </c>
      <c r="L36" s="457">
        <v>0</v>
      </c>
      <c r="M36" s="457">
        <v>0</v>
      </c>
      <c r="N36" s="457">
        <v>0</v>
      </c>
      <c r="O36" s="457">
        <v>0</v>
      </c>
      <c r="P36" s="457">
        <f t="shared" si="0"/>
        <v>0.057</v>
      </c>
      <c r="Q36" s="457">
        <f t="shared" si="1"/>
        <v>0.00475</v>
      </c>
      <c r="R36" s="456">
        <f t="shared" si="2"/>
        <v>0.057</v>
      </c>
      <c r="S36" s="443"/>
    </row>
    <row r="37" spans="1:19" ht="36">
      <c r="A37" s="595"/>
      <c r="B37" s="598"/>
      <c r="C37" s="458" t="s">
        <v>437</v>
      </c>
      <c r="D37" s="457">
        <v>0</v>
      </c>
      <c r="E37" s="457">
        <v>0</v>
      </c>
      <c r="F37" s="457">
        <v>0</v>
      </c>
      <c r="G37" s="457">
        <v>0</v>
      </c>
      <c r="H37" s="457">
        <v>0</v>
      </c>
      <c r="I37" s="457">
        <v>0</v>
      </c>
      <c r="J37" s="457"/>
      <c r="K37" s="457"/>
      <c r="L37" s="457"/>
      <c r="M37" s="457"/>
      <c r="N37" s="457"/>
      <c r="O37" s="457"/>
      <c r="P37" s="457">
        <f t="shared" si="0"/>
        <v>0</v>
      </c>
      <c r="Q37" s="457">
        <f t="shared" si="1"/>
        <v>0</v>
      </c>
      <c r="R37" s="456">
        <f t="shared" si="2"/>
        <v>0</v>
      </c>
      <c r="S37" s="443"/>
    </row>
    <row r="38" spans="1:19" ht="36">
      <c r="A38" s="595"/>
      <c r="B38" s="598"/>
      <c r="C38" s="458" t="s">
        <v>438</v>
      </c>
      <c r="D38" s="457"/>
      <c r="E38" s="457"/>
      <c r="F38" s="457"/>
      <c r="G38" s="457"/>
      <c r="H38" s="457"/>
      <c r="I38" s="457"/>
      <c r="J38" s="457"/>
      <c r="K38" s="457"/>
      <c r="L38" s="457"/>
      <c r="M38" s="457"/>
      <c r="N38" s="457"/>
      <c r="O38" s="457"/>
      <c r="P38" s="457">
        <f t="shared" si="0"/>
        <v>0</v>
      </c>
      <c r="Q38" s="457">
        <f t="shared" si="1"/>
        <v>0</v>
      </c>
      <c r="R38" s="456">
        <f t="shared" si="2"/>
        <v>0</v>
      </c>
      <c r="S38" s="443"/>
    </row>
    <row r="39" spans="1:19" ht="18">
      <c r="A39" s="595"/>
      <c r="B39" s="598"/>
      <c r="C39" s="458" t="s">
        <v>439</v>
      </c>
      <c r="D39" s="457"/>
      <c r="E39" s="457"/>
      <c r="F39" s="457"/>
      <c r="G39" s="457"/>
      <c r="H39" s="457"/>
      <c r="I39" s="457"/>
      <c r="J39" s="457"/>
      <c r="K39" s="457"/>
      <c r="L39" s="457"/>
      <c r="M39" s="457"/>
      <c r="N39" s="457"/>
      <c r="O39" s="457"/>
      <c r="P39" s="457">
        <f aca="true" t="shared" si="10" ref="P39:P56">SUM(D39:O39)</f>
        <v>0</v>
      </c>
      <c r="Q39" s="457">
        <f aca="true" t="shared" si="11" ref="Q39:Q56">P39/12</f>
        <v>0</v>
      </c>
      <c r="R39" s="456">
        <f aca="true" t="shared" si="12" ref="R39:R56">MAX(D39:O39)</f>
        <v>0</v>
      </c>
      <c r="S39" s="443"/>
    </row>
    <row r="40" spans="1:19" ht="18">
      <c r="A40" s="595">
        <v>9</v>
      </c>
      <c r="B40" s="598" t="s">
        <v>337</v>
      </c>
      <c r="C40" s="458" t="s">
        <v>436</v>
      </c>
      <c r="D40" s="457">
        <f>146.977+3.557</f>
        <v>150.534</v>
      </c>
      <c r="E40" s="457">
        <f>188.825</f>
        <v>188.825</v>
      </c>
      <c r="F40" s="457">
        <f>149.775+10.296</f>
        <v>160.071</v>
      </c>
      <c r="G40" s="457">
        <f>148.966+54.809</f>
        <v>203.775</v>
      </c>
      <c r="H40" s="457">
        <f>2.57+8.785+0.304</f>
        <v>11.659</v>
      </c>
      <c r="I40" s="457">
        <f>87.394+15.059+41.946+69.176</f>
        <v>213.575</v>
      </c>
      <c r="J40" s="457">
        <f>114.537+18.755+5.826+21.451+13.753</f>
        <v>174.322</v>
      </c>
      <c r="K40" s="457">
        <f>128.628+32.451+5.14+2.162+39.984</f>
        <v>208.36499999999998</v>
      </c>
      <c r="L40" s="457">
        <f>56.543+11.711+3.05+9.244+9.178</f>
        <v>89.726</v>
      </c>
      <c r="M40" s="457">
        <f>19.762+9.233+6.18</f>
        <v>35.175</v>
      </c>
      <c r="N40" s="457">
        <f>54.133+1.492+4.543+13.672</f>
        <v>73.84</v>
      </c>
      <c r="O40" s="457">
        <f>42.204+8.444+4.74+0.16</f>
        <v>55.548</v>
      </c>
      <c r="P40" s="457">
        <f t="shared" si="10"/>
        <v>1565.4149999999997</v>
      </c>
      <c r="Q40" s="457">
        <f t="shared" si="11"/>
        <v>130.45125</v>
      </c>
      <c r="R40" s="456">
        <f t="shared" si="12"/>
        <v>213.575</v>
      </c>
      <c r="S40" s="443"/>
    </row>
    <row r="41" spans="1:19" ht="36">
      <c r="A41" s="595"/>
      <c r="B41" s="598"/>
      <c r="C41" s="458" t="s">
        <v>437</v>
      </c>
      <c r="D41" s="457">
        <f>33.807+6.116+4.545+0.488+0.2</f>
        <v>45.156000000000006</v>
      </c>
      <c r="E41" s="457">
        <f>22.22+5.076+3.369+3.769+1.267</f>
        <v>35.701</v>
      </c>
      <c r="F41" s="457">
        <f>23.39+3.88+3.008+92.39+80.337</f>
        <v>203.005</v>
      </c>
      <c r="G41" s="457">
        <f>1.622+0.15+0.25+3.15</f>
        <v>5.172000000000001</v>
      </c>
      <c r="H41" s="457">
        <f>113.556+17.453+59.799</f>
        <v>190.808</v>
      </c>
      <c r="I41" s="457">
        <f>107.807+26.64+16.789</f>
        <v>151.236</v>
      </c>
      <c r="J41" s="457"/>
      <c r="K41" s="457"/>
      <c r="L41" s="457"/>
      <c r="M41" s="457"/>
      <c r="N41" s="457"/>
      <c r="O41" s="457"/>
      <c r="P41" s="457">
        <f t="shared" si="10"/>
        <v>631.078</v>
      </c>
      <c r="Q41" s="457">
        <f t="shared" si="11"/>
        <v>52.58983333333333</v>
      </c>
      <c r="R41" s="456">
        <f t="shared" si="12"/>
        <v>203.005</v>
      </c>
      <c r="S41" s="443"/>
    </row>
    <row r="42" spans="1:19" ht="36">
      <c r="A42" s="595"/>
      <c r="B42" s="598"/>
      <c r="C42" s="458" t="s">
        <v>438</v>
      </c>
      <c r="D42" s="457"/>
      <c r="E42" s="457"/>
      <c r="F42" s="457"/>
      <c r="G42" s="457"/>
      <c r="H42" s="457"/>
      <c r="I42" s="457"/>
      <c r="J42" s="457"/>
      <c r="K42" s="457"/>
      <c r="L42" s="457"/>
      <c r="M42" s="457"/>
      <c r="N42" s="457"/>
      <c r="O42" s="457"/>
      <c r="P42" s="457">
        <f t="shared" si="10"/>
        <v>0</v>
      </c>
      <c r="Q42" s="457">
        <f t="shared" si="11"/>
        <v>0</v>
      </c>
      <c r="R42" s="456">
        <f t="shared" si="12"/>
        <v>0</v>
      </c>
      <c r="S42" s="443"/>
    </row>
    <row r="43" spans="1:19" ht="18">
      <c r="A43" s="595"/>
      <c r="B43" s="598"/>
      <c r="C43" s="458" t="s">
        <v>439</v>
      </c>
      <c r="D43" s="457"/>
      <c r="E43" s="457"/>
      <c r="F43" s="457"/>
      <c r="G43" s="457"/>
      <c r="H43" s="457"/>
      <c r="I43" s="457"/>
      <c r="J43" s="457"/>
      <c r="K43" s="457"/>
      <c r="L43" s="457"/>
      <c r="M43" s="457"/>
      <c r="N43" s="457"/>
      <c r="O43" s="457"/>
      <c r="P43" s="457">
        <f t="shared" si="10"/>
        <v>0</v>
      </c>
      <c r="Q43" s="457">
        <f t="shared" si="11"/>
        <v>0</v>
      </c>
      <c r="R43" s="456">
        <f t="shared" si="12"/>
        <v>0</v>
      </c>
      <c r="S43" s="443"/>
    </row>
    <row r="44" spans="2:19" ht="18">
      <c r="B44" s="459"/>
      <c r="C44" s="460"/>
      <c r="D44" s="457"/>
      <c r="E44" s="457"/>
      <c r="F44" s="457"/>
      <c r="G44" s="457"/>
      <c r="H44" s="457"/>
      <c r="I44" s="457"/>
      <c r="J44" s="457"/>
      <c r="K44" s="457"/>
      <c r="L44" s="457"/>
      <c r="M44" s="457"/>
      <c r="N44" s="457"/>
      <c r="O44" s="457"/>
      <c r="P44" s="457">
        <f t="shared" si="10"/>
        <v>0</v>
      </c>
      <c r="Q44" s="457">
        <f t="shared" si="11"/>
        <v>0</v>
      </c>
      <c r="R44" s="456">
        <f t="shared" si="12"/>
        <v>0</v>
      </c>
      <c r="S44" s="443"/>
    </row>
    <row r="45" spans="1:19" ht="18">
      <c r="A45" s="596">
        <v>10</v>
      </c>
      <c r="B45" s="599" t="s">
        <v>340</v>
      </c>
      <c r="C45" s="458" t="s">
        <v>436</v>
      </c>
      <c r="D45" s="457">
        <f aca="true" t="shared" si="13" ref="D45:O48">D23+D28+D32+D36+D40</f>
        <v>2083.710761</v>
      </c>
      <c r="E45" s="457">
        <f t="shared" si="13"/>
        <v>2192.1053389999997</v>
      </c>
      <c r="F45" s="457">
        <f t="shared" si="13"/>
        <v>2045.5802169999997</v>
      </c>
      <c r="G45" s="457">
        <f t="shared" si="13"/>
        <v>2220.107794</v>
      </c>
      <c r="H45" s="457">
        <f t="shared" si="13"/>
        <v>2055.237464</v>
      </c>
      <c r="I45" s="457">
        <f t="shared" si="13"/>
        <v>2224.1489060000004</v>
      </c>
      <c r="J45" s="457">
        <f t="shared" si="13"/>
        <v>1907.4412929999999</v>
      </c>
      <c r="K45" s="457">
        <f t="shared" si="13"/>
        <v>1895.665</v>
      </c>
      <c r="L45" s="457">
        <f t="shared" si="13"/>
        <v>1837.8560000000002</v>
      </c>
      <c r="M45" s="457">
        <f t="shared" si="13"/>
        <v>1878.795</v>
      </c>
      <c r="N45" s="457">
        <f t="shared" si="13"/>
        <v>1732.2700000000002</v>
      </c>
      <c r="O45" s="457">
        <f t="shared" si="13"/>
        <v>2059.219</v>
      </c>
      <c r="P45" s="457">
        <f t="shared" si="10"/>
        <v>24132.136774</v>
      </c>
      <c r="Q45" s="457">
        <f t="shared" si="11"/>
        <v>2011.0113978333331</v>
      </c>
      <c r="R45" s="456">
        <f t="shared" si="12"/>
        <v>2224.1489060000004</v>
      </c>
      <c r="S45" s="443"/>
    </row>
    <row r="46" spans="1:19" ht="36">
      <c r="A46" s="596"/>
      <c r="B46" s="599"/>
      <c r="C46" s="458" t="s">
        <v>437</v>
      </c>
      <c r="D46" s="457">
        <f t="shared" si="13"/>
        <v>2115.71591</v>
      </c>
      <c r="E46" s="457">
        <f t="shared" si="13"/>
        <v>2083.932043</v>
      </c>
      <c r="F46" s="457">
        <f t="shared" si="13"/>
        <v>2118.698495</v>
      </c>
      <c r="G46" s="457">
        <f t="shared" si="13"/>
        <v>2000.3635719999997</v>
      </c>
      <c r="H46" s="457">
        <f t="shared" si="13"/>
        <v>2205.4651219999996</v>
      </c>
      <c r="I46" s="457">
        <f t="shared" si="13"/>
        <v>2126.399392</v>
      </c>
      <c r="J46" s="457">
        <f t="shared" si="13"/>
        <v>1117.463293</v>
      </c>
      <c r="K46" s="457">
        <f t="shared" si="13"/>
        <v>0</v>
      </c>
      <c r="L46" s="457">
        <f t="shared" si="13"/>
        <v>0</v>
      </c>
      <c r="M46" s="457">
        <f t="shared" si="13"/>
        <v>0</v>
      </c>
      <c r="N46" s="457">
        <f t="shared" si="13"/>
        <v>0</v>
      </c>
      <c r="O46" s="457">
        <f t="shared" si="13"/>
        <v>0</v>
      </c>
      <c r="P46" s="457">
        <f t="shared" si="10"/>
        <v>13768.037827</v>
      </c>
      <c r="Q46" s="457">
        <f t="shared" si="11"/>
        <v>1147.3364855833333</v>
      </c>
      <c r="R46" s="456">
        <f t="shared" si="12"/>
        <v>2205.4651219999996</v>
      </c>
      <c r="S46" s="443"/>
    </row>
    <row r="47" spans="1:19" ht="36">
      <c r="A47" s="596"/>
      <c r="B47" s="599"/>
      <c r="C47" s="458" t="s">
        <v>438</v>
      </c>
      <c r="D47" s="457">
        <f t="shared" si="13"/>
        <v>0</v>
      </c>
      <c r="E47" s="457">
        <f t="shared" si="13"/>
        <v>0</v>
      </c>
      <c r="F47" s="457">
        <f t="shared" si="13"/>
        <v>0</v>
      </c>
      <c r="G47" s="457">
        <f t="shared" si="13"/>
        <v>0</v>
      </c>
      <c r="H47" s="457">
        <f t="shared" si="13"/>
        <v>0</v>
      </c>
      <c r="I47" s="457">
        <f t="shared" si="13"/>
        <v>0</v>
      </c>
      <c r="J47" s="457">
        <f t="shared" si="13"/>
        <v>2124.375238095238</v>
      </c>
      <c r="K47" s="457">
        <f t="shared" si="13"/>
        <v>2055.852380952381</v>
      </c>
      <c r="L47" s="457">
        <f t="shared" si="13"/>
        <v>2124.375238095238</v>
      </c>
      <c r="M47" s="457">
        <f t="shared" si="13"/>
        <v>2124.375238095238</v>
      </c>
      <c r="N47" s="457">
        <f t="shared" si="13"/>
        <v>1918.8066666666668</v>
      </c>
      <c r="O47" s="457">
        <f t="shared" si="13"/>
        <v>2124.375238095238</v>
      </c>
      <c r="P47" s="457">
        <f t="shared" si="10"/>
        <v>12472.159999999998</v>
      </c>
      <c r="Q47" s="457">
        <f t="shared" si="11"/>
        <v>1039.3466666666666</v>
      </c>
      <c r="R47" s="456">
        <f t="shared" si="12"/>
        <v>2124.375238095238</v>
      </c>
      <c r="S47" s="443"/>
    </row>
    <row r="48" spans="1:19" ht="18">
      <c r="A48" s="596"/>
      <c r="B48" s="599"/>
      <c r="C48" s="458" t="s">
        <v>439</v>
      </c>
      <c r="D48" s="457">
        <f t="shared" si="13"/>
        <v>2144.767759562841</v>
      </c>
      <c r="E48" s="457">
        <f t="shared" si="13"/>
        <v>2216.232240437158</v>
      </c>
      <c r="F48" s="457">
        <f t="shared" si="13"/>
        <v>2144.767759562841</v>
      </c>
      <c r="G48" s="457">
        <f t="shared" si="13"/>
        <v>2216.232240437158</v>
      </c>
      <c r="H48" s="457">
        <f t="shared" si="13"/>
        <v>2216.232240437158</v>
      </c>
      <c r="I48" s="457">
        <f t="shared" si="13"/>
        <v>2144.767759562841</v>
      </c>
      <c r="J48" s="457">
        <f t="shared" si="13"/>
        <v>2216.232240437158</v>
      </c>
      <c r="K48" s="457">
        <f t="shared" si="13"/>
        <v>2144.767759562841</v>
      </c>
      <c r="L48" s="457">
        <f t="shared" si="13"/>
        <v>2216.232240437158</v>
      </c>
      <c r="M48" s="457">
        <f t="shared" si="13"/>
        <v>2216.232240437158</v>
      </c>
      <c r="N48" s="457">
        <f t="shared" si="13"/>
        <v>2073.303278688524</v>
      </c>
      <c r="O48" s="457">
        <f t="shared" si="13"/>
        <v>2216.232240437158</v>
      </c>
      <c r="P48" s="457">
        <f t="shared" si="10"/>
        <v>26165.999999999996</v>
      </c>
      <c r="Q48" s="457">
        <f t="shared" si="11"/>
        <v>2180.4999999999995</v>
      </c>
      <c r="R48" s="456">
        <f t="shared" si="12"/>
        <v>2216.232240437158</v>
      </c>
      <c r="S48" s="443"/>
    </row>
    <row r="49" spans="1:19" ht="18">
      <c r="A49" s="596">
        <v>11</v>
      </c>
      <c r="B49" s="599" t="s">
        <v>338</v>
      </c>
      <c r="C49" s="458" t="s">
        <v>436</v>
      </c>
      <c r="D49" s="457">
        <v>3.8</v>
      </c>
      <c r="E49" s="457">
        <v>3.8</v>
      </c>
      <c r="F49" s="457">
        <v>3.8</v>
      </c>
      <c r="G49" s="457">
        <v>3.8</v>
      </c>
      <c r="H49" s="457">
        <v>3.8</v>
      </c>
      <c r="I49" s="457">
        <v>3.8</v>
      </c>
      <c r="J49" s="457">
        <v>3.8</v>
      </c>
      <c r="K49" s="457">
        <v>3.8</v>
      </c>
      <c r="L49" s="457">
        <v>3.8</v>
      </c>
      <c r="M49" s="457">
        <v>3.8</v>
      </c>
      <c r="N49" s="457">
        <v>3.8</v>
      </c>
      <c r="O49" s="457">
        <v>3.8</v>
      </c>
      <c r="P49" s="457">
        <f t="shared" si="10"/>
        <v>45.599999999999994</v>
      </c>
      <c r="Q49" s="457">
        <f t="shared" si="11"/>
        <v>3.7999999999999994</v>
      </c>
      <c r="R49" s="456">
        <f t="shared" si="12"/>
        <v>3.8</v>
      </c>
      <c r="S49" s="443"/>
    </row>
    <row r="50" spans="1:19" ht="36">
      <c r="A50" s="596"/>
      <c r="B50" s="599"/>
      <c r="C50" s="458" t="s">
        <v>437</v>
      </c>
      <c r="D50" s="457">
        <v>3.75</v>
      </c>
      <c r="E50" s="457">
        <v>3.75</v>
      </c>
      <c r="F50" s="457">
        <v>3.75</v>
      </c>
      <c r="G50" s="457">
        <v>3.75</v>
      </c>
      <c r="H50" s="457">
        <v>3.75</v>
      </c>
      <c r="I50" s="457">
        <v>3.75</v>
      </c>
      <c r="J50" s="457"/>
      <c r="K50" s="457"/>
      <c r="L50" s="457"/>
      <c r="M50" s="457"/>
      <c r="N50" s="457"/>
      <c r="O50" s="457"/>
      <c r="P50" s="457">
        <f t="shared" si="10"/>
        <v>22.5</v>
      </c>
      <c r="Q50" s="457">
        <f t="shared" si="11"/>
        <v>1.875</v>
      </c>
      <c r="R50" s="456">
        <f t="shared" si="12"/>
        <v>3.75</v>
      </c>
      <c r="S50" s="443"/>
    </row>
    <row r="51" spans="1:19" ht="36">
      <c r="A51" s="596"/>
      <c r="B51" s="599"/>
      <c r="C51" s="458" t="s">
        <v>438</v>
      </c>
      <c r="D51" s="457"/>
      <c r="E51" s="457"/>
      <c r="F51" s="457"/>
      <c r="G51" s="457"/>
      <c r="H51" s="457"/>
      <c r="I51" s="457"/>
      <c r="J51" s="457">
        <v>3.75</v>
      </c>
      <c r="K51" s="457">
        <v>3.75</v>
      </c>
      <c r="L51" s="457">
        <v>3.75</v>
      </c>
      <c r="M51" s="457">
        <v>3.75</v>
      </c>
      <c r="N51" s="457">
        <v>3.75</v>
      </c>
      <c r="O51" s="457">
        <v>3.75</v>
      </c>
      <c r="P51" s="457">
        <f t="shared" si="10"/>
        <v>22.5</v>
      </c>
      <c r="Q51" s="457">
        <f t="shared" si="11"/>
        <v>1.875</v>
      </c>
      <c r="R51" s="456">
        <f t="shared" si="12"/>
        <v>3.75</v>
      </c>
      <c r="S51" s="443"/>
    </row>
    <row r="52" spans="1:19" ht="18">
      <c r="A52" s="596"/>
      <c r="B52" s="599"/>
      <c r="C52" s="458" t="s">
        <v>439</v>
      </c>
      <c r="D52" s="457">
        <v>3.75</v>
      </c>
      <c r="E52" s="457">
        <v>3.75</v>
      </c>
      <c r="F52" s="457">
        <v>3.75</v>
      </c>
      <c r="G52" s="457">
        <v>3.75</v>
      </c>
      <c r="H52" s="457">
        <v>3.75</v>
      </c>
      <c r="I52" s="457">
        <v>3.75</v>
      </c>
      <c r="J52" s="457">
        <v>3.75</v>
      </c>
      <c r="K52" s="457">
        <v>3.75</v>
      </c>
      <c r="L52" s="457">
        <v>3.75</v>
      </c>
      <c r="M52" s="457">
        <v>3.75</v>
      </c>
      <c r="N52" s="457">
        <v>3.75</v>
      </c>
      <c r="O52" s="457">
        <v>3.75</v>
      </c>
      <c r="P52" s="457">
        <f t="shared" si="10"/>
        <v>45</v>
      </c>
      <c r="Q52" s="457">
        <f t="shared" si="11"/>
        <v>3.75</v>
      </c>
      <c r="R52" s="456">
        <f t="shared" si="12"/>
        <v>3.75</v>
      </c>
      <c r="S52" s="443"/>
    </row>
    <row r="53" spans="1:19" ht="18">
      <c r="A53" s="596">
        <v>12</v>
      </c>
      <c r="B53" s="599" t="s">
        <v>389</v>
      </c>
      <c r="C53" s="458" t="s">
        <v>436</v>
      </c>
      <c r="D53" s="457">
        <f aca="true" t="shared" si="14" ref="D53:O53">D45/(1-0.038)</f>
        <v>2166.019502079002</v>
      </c>
      <c r="E53" s="457">
        <f t="shared" si="14"/>
        <v>2278.6957785862783</v>
      </c>
      <c r="F53" s="457">
        <f t="shared" si="14"/>
        <v>2126.3827619542617</v>
      </c>
      <c r="G53" s="457">
        <f t="shared" si="14"/>
        <v>2307.8043596673597</v>
      </c>
      <c r="H53" s="457">
        <f t="shared" si="14"/>
        <v>2136.4214802494803</v>
      </c>
      <c r="I53" s="457">
        <f t="shared" si="14"/>
        <v>2312.0050997921003</v>
      </c>
      <c r="J53" s="457">
        <f t="shared" si="14"/>
        <v>1982.7872068607069</v>
      </c>
      <c r="K53" s="457">
        <f t="shared" si="14"/>
        <v>1970.545738045738</v>
      </c>
      <c r="L53" s="457">
        <f t="shared" si="14"/>
        <v>1910.4532224532227</v>
      </c>
      <c r="M53" s="457">
        <f t="shared" si="14"/>
        <v>1953.0093555093556</v>
      </c>
      <c r="N53" s="457">
        <f t="shared" si="14"/>
        <v>1800.696465696466</v>
      </c>
      <c r="O53" s="457">
        <f t="shared" si="14"/>
        <v>2140.560291060291</v>
      </c>
      <c r="P53" s="457">
        <f t="shared" si="10"/>
        <v>25085.381261954262</v>
      </c>
      <c r="Q53" s="457">
        <f t="shared" si="11"/>
        <v>2090.4484384961884</v>
      </c>
      <c r="R53" s="456">
        <f t="shared" si="12"/>
        <v>2312.0050997921003</v>
      </c>
      <c r="S53" s="443"/>
    </row>
    <row r="54" spans="1:19" ht="36">
      <c r="A54" s="596"/>
      <c r="B54" s="599"/>
      <c r="C54" s="458" t="s">
        <v>437</v>
      </c>
      <c r="D54" s="457">
        <f>D46/(1-0.0375)</f>
        <v>2198.1463999999996</v>
      </c>
      <c r="E54" s="457">
        <f aca="true" t="shared" si="15" ref="E54:O54">E46/(1-0.0375)</f>
        <v>2165.1242005194804</v>
      </c>
      <c r="F54" s="457">
        <f t="shared" si="15"/>
        <v>2201.24518961039</v>
      </c>
      <c r="G54" s="457">
        <f t="shared" si="15"/>
        <v>2078.2998150649346</v>
      </c>
      <c r="H54" s="457">
        <f t="shared" si="15"/>
        <v>2291.392334545454</v>
      </c>
      <c r="I54" s="457">
        <f t="shared" si="15"/>
        <v>2209.2461215584412</v>
      </c>
      <c r="J54" s="457">
        <f t="shared" si="15"/>
        <v>1161.0008238961038</v>
      </c>
      <c r="K54" s="457">
        <f t="shared" si="15"/>
        <v>0</v>
      </c>
      <c r="L54" s="457">
        <f t="shared" si="15"/>
        <v>0</v>
      </c>
      <c r="M54" s="457">
        <f t="shared" si="15"/>
        <v>0</v>
      </c>
      <c r="N54" s="457">
        <f t="shared" si="15"/>
        <v>0</v>
      </c>
      <c r="O54" s="457">
        <f t="shared" si="15"/>
        <v>0</v>
      </c>
      <c r="P54" s="457">
        <f t="shared" si="10"/>
        <v>14304.454885194804</v>
      </c>
      <c r="Q54" s="457">
        <f t="shared" si="11"/>
        <v>1192.037907099567</v>
      </c>
      <c r="R54" s="456">
        <f t="shared" si="12"/>
        <v>2291.392334545454</v>
      </c>
      <c r="S54" s="443"/>
    </row>
    <row r="55" spans="1:19" ht="36">
      <c r="A55" s="596"/>
      <c r="B55" s="599"/>
      <c r="C55" s="458" t="s">
        <v>438</v>
      </c>
      <c r="D55" s="457">
        <f>D47/(1-0.0375)</f>
        <v>0</v>
      </c>
      <c r="E55" s="457">
        <f aca="true" t="shared" si="16" ref="E55:O55">E47/(1-0.0375)</f>
        <v>0</v>
      </c>
      <c r="F55" s="457">
        <f t="shared" si="16"/>
        <v>0</v>
      </c>
      <c r="G55" s="457">
        <f t="shared" si="16"/>
        <v>0</v>
      </c>
      <c r="H55" s="457">
        <f t="shared" si="16"/>
        <v>0</v>
      </c>
      <c r="I55" s="457">
        <f t="shared" si="16"/>
        <v>0</v>
      </c>
      <c r="J55" s="457">
        <f t="shared" si="16"/>
        <v>2207.1431045145328</v>
      </c>
      <c r="K55" s="457">
        <f t="shared" si="16"/>
        <v>2135.9505256648113</v>
      </c>
      <c r="L55" s="457">
        <f t="shared" si="16"/>
        <v>2207.1431045145328</v>
      </c>
      <c r="M55" s="457">
        <f t="shared" si="16"/>
        <v>2207.1431045145328</v>
      </c>
      <c r="N55" s="457">
        <f t="shared" si="16"/>
        <v>1993.565367965368</v>
      </c>
      <c r="O55" s="457">
        <f t="shared" si="16"/>
        <v>2207.1431045145328</v>
      </c>
      <c r="P55" s="457">
        <f t="shared" si="10"/>
        <v>12958.08831168831</v>
      </c>
      <c r="Q55" s="457">
        <f t="shared" si="11"/>
        <v>1079.8406926406926</v>
      </c>
      <c r="R55" s="456">
        <f t="shared" si="12"/>
        <v>2207.1431045145328</v>
      </c>
      <c r="S55" s="443"/>
    </row>
    <row r="56" spans="1:19" ht="18">
      <c r="A56" s="596"/>
      <c r="B56" s="599"/>
      <c r="C56" s="458" t="s">
        <v>439</v>
      </c>
      <c r="D56" s="457">
        <f aca="true" t="shared" si="17" ref="D56:O56">D48/(1-0.0375)</f>
        <v>2228.330139805549</v>
      </c>
      <c r="E56" s="457">
        <f t="shared" si="17"/>
        <v>2302.578951103541</v>
      </c>
      <c r="F56" s="457">
        <f t="shared" si="17"/>
        <v>2228.330139805549</v>
      </c>
      <c r="G56" s="457">
        <f t="shared" si="17"/>
        <v>2302.578951103541</v>
      </c>
      <c r="H56" s="457">
        <f t="shared" si="17"/>
        <v>2302.578951103541</v>
      </c>
      <c r="I56" s="457">
        <f t="shared" si="17"/>
        <v>2228.330139805549</v>
      </c>
      <c r="J56" s="457">
        <f t="shared" si="17"/>
        <v>2302.578951103541</v>
      </c>
      <c r="K56" s="457">
        <f t="shared" si="17"/>
        <v>2228.330139805549</v>
      </c>
      <c r="L56" s="457">
        <f t="shared" si="17"/>
        <v>2302.578951103541</v>
      </c>
      <c r="M56" s="457">
        <f t="shared" si="17"/>
        <v>2302.578951103541</v>
      </c>
      <c r="N56" s="457">
        <f t="shared" si="17"/>
        <v>2154.0813285075574</v>
      </c>
      <c r="O56" s="457">
        <f t="shared" si="17"/>
        <v>2302.578951103541</v>
      </c>
      <c r="P56" s="457">
        <f t="shared" si="10"/>
        <v>27185.454545454533</v>
      </c>
      <c r="Q56" s="457">
        <f t="shared" si="11"/>
        <v>2265.4545454545446</v>
      </c>
      <c r="R56" s="456">
        <f t="shared" si="12"/>
        <v>2302.578951103541</v>
      </c>
      <c r="S56" s="443"/>
    </row>
    <row r="57" spans="2:19" ht="18">
      <c r="B57" s="455"/>
      <c r="D57" s="443"/>
      <c r="E57" s="443"/>
      <c r="F57" s="443"/>
      <c r="G57" s="443"/>
      <c r="H57" s="443"/>
      <c r="I57" s="443"/>
      <c r="J57" s="443"/>
      <c r="K57" s="443"/>
      <c r="L57" s="443"/>
      <c r="M57" s="443"/>
      <c r="N57" s="443"/>
      <c r="O57" s="443"/>
      <c r="P57" s="443"/>
      <c r="Q57" s="443"/>
      <c r="R57" s="443"/>
      <c r="S57" s="443"/>
    </row>
    <row r="58" spans="2:19" ht="18">
      <c r="B58" s="455"/>
      <c r="D58" s="443"/>
      <c r="E58" s="443"/>
      <c r="F58" s="443"/>
      <c r="G58" s="443"/>
      <c r="H58" s="443"/>
      <c r="I58" s="443"/>
      <c r="J58" s="443"/>
      <c r="K58" s="443"/>
      <c r="L58" s="443"/>
      <c r="M58" s="443"/>
      <c r="N58" s="443"/>
      <c r="O58" s="443"/>
      <c r="P58" s="443"/>
      <c r="Q58" s="443"/>
      <c r="R58" s="443"/>
      <c r="S58" s="443"/>
    </row>
    <row r="59" spans="2:19" ht="18">
      <c r="B59" s="455"/>
      <c r="D59" s="443"/>
      <c r="E59" s="443"/>
      <c r="F59" s="443"/>
      <c r="G59" s="443"/>
      <c r="H59" s="443"/>
      <c r="I59" s="443"/>
      <c r="J59" s="443"/>
      <c r="K59" s="443"/>
      <c r="L59" s="443"/>
      <c r="M59" s="443"/>
      <c r="N59" s="443"/>
      <c r="O59" s="443"/>
      <c r="P59" s="443"/>
      <c r="Q59" s="443"/>
      <c r="R59" s="443"/>
      <c r="S59" s="443"/>
    </row>
    <row r="60" spans="2:19" ht="18">
      <c r="B60" s="455"/>
      <c r="D60" s="443"/>
      <c r="E60" s="443"/>
      <c r="F60" s="443"/>
      <c r="G60" s="443"/>
      <c r="H60" s="443"/>
      <c r="I60" s="443"/>
      <c r="J60" s="443"/>
      <c r="K60" s="443"/>
      <c r="L60" s="443"/>
      <c r="M60" s="443"/>
      <c r="N60" s="443"/>
      <c r="O60" s="443"/>
      <c r="P60" s="443"/>
      <c r="Q60" s="443"/>
      <c r="R60" s="443"/>
      <c r="S60" s="443"/>
    </row>
    <row r="61" spans="2:19" ht="18">
      <c r="B61" s="455"/>
      <c r="D61" s="443"/>
      <c r="E61" s="443"/>
      <c r="F61" s="443"/>
      <c r="G61" s="443"/>
      <c r="H61" s="443"/>
      <c r="I61" s="443"/>
      <c r="J61" s="443"/>
      <c r="K61" s="443"/>
      <c r="L61" s="443"/>
      <c r="M61" s="443"/>
      <c r="N61" s="443"/>
      <c r="O61" s="443"/>
      <c r="P61" s="443"/>
      <c r="Q61" s="443"/>
      <c r="R61" s="443"/>
      <c r="S61" s="443"/>
    </row>
    <row r="62" spans="2:19" ht="18">
      <c r="B62" s="455"/>
      <c r="D62" s="443"/>
      <c r="E62" s="443"/>
      <c r="F62" s="443"/>
      <c r="G62" s="443"/>
      <c r="H62" s="443"/>
      <c r="I62" s="443"/>
      <c r="J62" s="443"/>
      <c r="K62" s="443"/>
      <c r="L62" s="443"/>
      <c r="M62" s="443"/>
      <c r="N62" s="443"/>
      <c r="O62" s="443"/>
      <c r="P62" s="443"/>
      <c r="Q62" s="443"/>
      <c r="R62" s="443"/>
      <c r="S62" s="443"/>
    </row>
    <row r="63" spans="2:19" ht="18">
      <c r="B63" s="455"/>
      <c r="D63" s="443"/>
      <c r="E63" s="443"/>
      <c r="F63" s="443"/>
      <c r="G63" s="443"/>
      <c r="H63" s="443"/>
      <c r="I63" s="443"/>
      <c r="J63" s="443"/>
      <c r="K63" s="443"/>
      <c r="L63" s="443"/>
      <c r="M63" s="443"/>
      <c r="N63" s="443"/>
      <c r="O63" s="443"/>
      <c r="P63" s="443"/>
      <c r="Q63" s="443"/>
      <c r="R63" s="443"/>
      <c r="S63" s="443"/>
    </row>
    <row r="64" spans="2:19" ht="18">
      <c r="B64" s="455"/>
      <c r="D64" s="443"/>
      <c r="E64" s="443"/>
      <c r="F64" s="443"/>
      <c r="G64" s="443"/>
      <c r="H64" s="443"/>
      <c r="I64" s="443"/>
      <c r="J64" s="443"/>
      <c r="K64" s="443"/>
      <c r="L64" s="443"/>
      <c r="M64" s="443"/>
      <c r="N64" s="443"/>
      <c r="O64" s="443"/>
      <c r="P64" s="443"/>
      <c r="Q64" s="443"/>
      <c r="R64" s="443"/>
      <c r="S64" s="443"/>
    </row>
    <row r="65" spans="2:19" ht="18">
      <c r="B65" s="455"/>
      <c r="D65" s="443"/>
      <c r="E65" s="443"/>
      <c r="F65" s="443"/>
      <c r="G65" s="443"/>
      <c r="H65" s="443"/>
      <c r="I65" s="443"/>
      <c r="J65" s="443"/>
      <c r="K65" s="443"/>
      <c r="L65" s="443"/>
      <c r="M65" s="443"/>
      <c r="N65" s="443"/>
      <c r="O65" s="443"/>
      <c r="P65" s="443"/>
      <c r="Q65" s="443"/>
      <c r="R65" s="443"/>
      <c r="S65" s="443"/>
    </row>
    <row r="66" spans="2:19" ht="18">
      <c r="B66" s="455"/>
      <c r="D66" s="443"/>
      <c r="E66" s="443"/>
      <c r="F66" s="443"/>
      <c r="G66" s="443"/>
      <c r="H66" s="443"/>
      <c r="I66" s="443"/>
      <c r="J66" s="443"/>
      <c r="K66" s="443"/>
      <c r="L66" s="443"/>
      <c r="M66" s="443"/>
      <c r="N66" s="443"/>
      <c r="O66" s="443"/>
      <c r="P66" s="443"/>
      <c r="Q66" s="443"/>
      <c r="R66" s="443"/>
      <c r="S66" s="443"/>
    </row>
    <row r="67" spans="1:19" ht="18">
      <c r="A67" s="428" t="s">
        <v>424</v>
      </c>
      <c r="B67" s="455"/>
      <c r="D67" s="443"/>
      <c r="E67" s="443"/>
      <c r="F67" s="443"/>
      <c r="G67" s="443"/>
      <c r="H67" s="443"/>
      <c r="I67" s="443"/>
      <c r="J67" s="443"/>
      <c r="K67" s="443"/>
      <c r="L67" s="443"/>
      <c r="M67" s="443"/>
      <c r="N67" s="443"/>
      <c r="O67" s="443"/>
      <c r="P67" s="443"/>
      <c r="Q67" s="443"/>
      <c r="R67" s="443"/>
      <c r="S67" s="443"/>
    </row>
    <row r="68" spans="4:19" ht="18">
      <c r="D68" s="443"/>
      <c r="E68" s="443"/>
      <c r="F68" s="443"/>
      <c r="G68" s="443"/>
      <c r="H68" s="443"/>
      <c r="I68" s="443"/>
      <c r="J68" s="443"/>
      <c r="K68" s="443"/>
      <c r="L68" s="443"/>
      <c r="M68" s="443"/>
      <c r="N68" s="443"/>
      <c r="O68" s="443"/>
      <c r="P68" s="443"/>
      <c r="Q68" s="443"/>
      <c r="R68" s="443"/>
      <c r="S68" s="443"/>
    </row>
    <row r="69" spans="1:19" ht="36">
      <c r="A69" s="454" t="s">
        <v>400</v>
      </c>
      <c r="B69" s="453" t="s">
        <v>401</v>
      </c>
      <c r="C69" s="452"/>
      <c r="D69" s="443" t="s">
        <v>408</v>
      </c>
      <c r="E69" s="443" t="s">
        <v>409</v>
      </c>
      <c r="F69" s="443" t="s">
        <v>410</v>
      </c>
      <c r="G69" s="443" t="s">
        <v>411</v>
      </c>
      <c r="H69" s="443" t="s">
        <v>412</v>
      </c>
      <c r="I69" s="443" t="s">
        <v>413</v>
      </c>
      <c r="J69" s="443" t="s">
        <v>414</v>
      </c>
      <c r="K69" s="443" t="s">
        <v>415</v>
      </c>
      <c r="L69" s="443" t="s">
        <v>416</v>
      </c>
      <c r="M69" s="443" t="s">
        <v>417</v>
      </c>
      <c r="N69" s="443" t="s">
        <v>418</v>
      </c>
      <c r="O69" s="443" t="s">
        <v>419</v>
      </c>
      <c r="P69" s="443" t="s">
        <v>425</v>
      </c>
      <c r="Q69" s="443" t="s">
        <v>402</v>
      </c>
      <c r="R69" s="443" t="s">
        <v>403</v>
      </c>
      <c r="S69" s="443"/>
    </row>
    <row r="70" spans="1:25" ht="18">
      <c r="A70" s="448"/>
      <c r="B70" s="451"/>
      <c r="C70" s="450"/>
      <c r="D70" s="443"/>
      <c r="E70" s="443"/>
      <c r="F70" s="443"/>
      <c r="G70" s="443"/>
      <c r="H70" s="443"/>
      <c r="I70" s="443"/>
      <c r="J70" s="443"/>
      <c r="K70" s="443"/>
      <c r="L70" s="443"/>
      <c r="M70" s="443"/>
      <c r="N70" s="443"/>
      <c r="O70" s="443"/>
      <c r="P70" s="443"/>
      <c r="Q70" s="443"/>
      <c r="R70" s="443"/>
      <c r="S70" s="443"/>
      <c r="T70" s="429"/>
      <c r="U70" s="429"/>
      <c r="V70" s="429"/>
      <c r="W70" s="429"/>
      <c r="X70" s="429"/>
      <c r="Y70" s="429"/>
    </row>
    <row r="71" spans="1:25" ht="18">
      <c r="A71" s="428" t="s">
        <v>388</v>
      </c>
      <c r="B71" s="427" t="s">
        <v>377</v>
      </c>
      <c r="D71" s="443"/>
      <c r="E71" s="443"/>
      <c r="F71" s="443"/>
      <c r="G71" s="443"/>
      <c r="H71" s="443"/>
      <c r="I71" s="443"/>
      <c r="J71" s="443"/>
      <c r="K71" s="443"/>
      <c r="L71" s="443"/>
      <c r="M71" s="443"/>
      <c r="N71" s="443"/>
      <c r="O71" s="443"/>
      <c r="P71" s="443"/>
      <c r="Q71" s="443"/>
      <c r="R71" s="443"/>
      <c r="S71" s="443"/>
      <c r="T71" s="429"/>
      <c r="U71" s="429"/>
      <c r="V71" s="429"/>
      <c r="W71" s="429"/>
      <c r="X71" s="429"/>
      <c r="Y71" s="429"/>
    </row>
    <row r="72" spans="1:25" ht="18">
      <c r="A72" s="428" t="s">
        <v>405</v>
      </c>
      <c r="B72" s="427" t="s">
        <v>378</v>
      </c>
      <c r="D72" s="443"/>
      <c r="E72" s="443"/>
      <c r="F72" s="443"/>
      <c r="G72" s="443"/>
      <c r="H72" s="443"/>
      <c r="I72" s="443"/>
      <c r="J72" s="443"/>
      <c r="K72" s="443"/>
      <c r="L72" s="443"/>
      <c r="M72" s="443"/>
      <c r="N72" s="443"/>
      <c r="O72" s="443"/>
      <c r="P72" s="443"/>
      <c r="Q72" s="443"/>
      <c r="R72" s="443"/>
      <c r="S72" s="443"/>
      <c r="T72" s="445"/>
      <c r="U72" s="445"/>
      <c r="V72" s="429"/>
      <c r="W72" s="429"/>
      <c r="X72" s="429"/>
      <c r="Y72" s="429"/>
    </row>
    <row r="73" spans="1:25" ht="18">
      <c r="A73" s="428" t="s">
        <v>406</v>
      </c>
      <c r="B73" s="427" t="s">
        <v>376</v>
      </c>
      <c r="D73" s="443"/>
      <c r="E73" s="443"/>
      <c r="F73" s="443"/>
      <c r="G73" s="443"/>
      <c r="H73" s="443"/>
      <c r="I73" s="443"/>
      <c r="J73" s="443"/>
      <c r="K73" s="443"/>
      <c r="L73" s="443"/>
      <c r="M73" s="443"/>
      <c r="N73" s="443"/>
      <c r="O73" s="443"/>
      <c r="P73" s="443"/>
      <c r="Q73" s="443"/>
      <c r="R73" s="443"/>
      <c r="S73" s="443"/>
      <c r="T73" s="429"/>
      <c r="U73" s="429"/>
      <c r="V73" s="429"/>
      <c r="W73" s="429"/>
      <c r="X73" s="429"/>
      <c r="Y73" s="429"/>
    </row>
    <row r="74" spans="1:25" ht="36">
      <c r="A74" s="428" t="s">
        <v>407</v>
      </c>
      <c r="B74" s="427" t="s">
        <v>379</v>
      </c>
      <c r="D74" s="443"/>
      <c r="E74" s="443"/>
      <c r="F74" s="443"/>
      <c r="G74" s="443"/>
      <c r="H74" s="443"/>
      <c r="I74" s="443"/>
      <c r="J74" s="443"/>
      <c r="K74" s="443"/>
      <c r="L74" s="443"/>
      <c r="M74" s="443"/>
      <c r="N74" s="443"/>
      <c r="O74" s="443"/>
      <c r="P74" s="443"/>
      <c r="Q74" s="443"/>
      <c r="R74" s="443"/>
      <c r="S74" s="443"/>
      <c r="T74" s="429"/>
      <c r="U74" s="429"/>
      <c r="V74" s="429"/>
      <c r="W74" s="429"/>
      <c r="X74" s="429"/>
      <c r="Y74" s="429"/>
    </row>
    <row r="75" spans="4:25" ht="18">
      <c r="D75" s="443"/>
      <c r="E75" s="443"/>
      <c r="F75" s="443"/>
      <c r="G75" s="443"/>
      <c r="H75" s="443"/>
      <c r="I75" s="443"/>
      <c r="J75" s="443"/>
      <c r="K75" s="443"/>
      <c r="L75" s="443"/>
      <c r="M75" s="443"/>
      <c r="N75" s="443"/>
      <c r="O75" s="443"/>
      <c r="P75" s="443"/>
      <c r="Q75" s="443"/>
      <c r="R75" s="443"/>
      <c r="S75" s="443"/>
      <c r="T75" s="429"/>
      <c r="U75" s="429"/>
      <c r="V75" s="429"/>
      <c r="W75" s="429"/>
      <c r="X75" s="429"/>
      <c r="Y75" s="429"/>
    </row>
    <row r="76" spans="1:25" ht="18">
      <c r="A76" s="428" t="s">
        <v>420</v>
      </c>
      <c r="B76" s="427" t="s">
        <v>398</v>
      </c>
      <c r="D76" s="443"/>
      <c r="E76" s="443"/>
      <c r="F76" s="443"/>
      <c r="G76" s="443"/>
      <c r="H76" s="443"/>
      <c r="I76" s="443"/>
      <c r="J76" s="443"/>
      <c r="K76" s="443"/>
      <c r="L76" s="443"/>
      <c r="M76" s="443"/>
      <c r="N76" s="443"/>
      <c r="O76" s="443"/>
      <c r="P76" s="443"/>
      <c r="Q76" s="443"/>
      <c r="R76" s="443"/>
      <c r="S76" s="443"/>
      <c r="T76" s="429"/>
      <c r="U76" s="429"/>
      <c r="V76" s="429"/>
      <c r="W76" s="429"/>
      <c r="X76" s="429"/>
      <c r="Y76" s="429"/>
    </row>
    <row r="77" spans="1:25" ht="18">
      <c r="A77" s="432"/>
      <c r="B77" s="431"/>
      <c r="C77" s="430"/>
      <c r="D77" s="443"/>
      <c r="E77" s="443"/>
      <c r="F77" s="443"/>
      <c r="G77" s="443"/>
      <c r="H77" s="443"/>
      <c r="I77" s="443"/>
      <c r="J77" s="443"/>
      <c r="K77" s="443"/>
      <c r="L77" s="443"/>
      <c r="M77" s="443"/>
      <c r="N77" s="443"/>
      <c r="O77" s="443"/>
      <c r="P77" s="443"/>
      <c r="Q77" s="443"/>
      <c r="R77" s="443"/>
      <c r="S77" s="443"/>
      <c r="T77" s="429"/>
      <c r="U77" s="429"/>
      <c r="V77" s="429"/>
      <c r="W77" s="429"/>
      <c r="X77" s="429"/>
      <c r="Y77" s="429"/>
    </row>
    <row r="78" spans="1:25" ht="36">
      <c r="A78" s="428" t="s">
        <v>390</v>
      </c>
      <c r="B78" s="427">
        <v>1</v>
      </c>
      <c r="C78" s="449" t="s">
        <v>391</v>
      </c>
      <c r="D78" s="443"/>
      <c r="E78" s="443"/>
      <c r="F78" s="443"/>
      <c r="G78" s="443"/>
      <c r="H78" s="443"/>
      <c r="I78" s="443"/>
      <c r="J78" s="443"/>
      <c r="K78" s="443"/>
      <c r="L78" s="443"/>
      <c r="M78" s="443"/>
      <c r="N78" s="443"/>
      <c r="O78" s="443"/>
      <c r="P78" s="443"/>
      <c r="Q78" s="443"/>
      <c r="R78" s="443"/>
      <c r="S78" s="443"/>
      <c r="T78" s="429"/>
      <c r="U78" s="429"/>
      <c r="V78" s="429"/>
      <c r="W78" s="429"/>
      <c r="X78" s="429"/>
      <c r="Y78" s="429"/>
    </row>
    <row r="79" spans="3:25" ht="54">
      <c r="C79" s="426" t="s">
        <v>392</v>
      </c>
      <c r="D79" s="443"/>
      <c r="E79" s="443"/>
      <c r="F79" s="443"/>
      <c r="G79" s="443"/>
      <c r="H79" s="443"/>
      <c r="I79" s="443"/>
      <c r="J79" s="443"/>
      <c r="K79" s="443"/>
      <c r="L79" s="443"/>
      <c r="M79" s="443"/>
      <c r="N79" s="443"/>
      <c r="O79" s="443"/>
      <c r="P79" s="443"/>
      <c r="Q79" s="443"/>
      <c r="R79" s="443"/>
      <c r="S79" s="443"/>
      <c r="T79" s="429"/>
      <c r="U79" s="429"/>
      <c r="V79" s="429"/>
      <c r="W79" s="429"/>
      <c r="X79" s="429"/>
      <c r="Y79" s="429"/>
    </row>
    <row r="80" spans="1:25" ht="36">
      <c r="A80" s="432"/>
      <c r="B80" s="431">
        <v>2</v>
      </c>
      <c r="C80" s="430" t="s">
        <v>451</v>
      </c>
      <c r="D80" s="443"/>
      <c r="E80" s="443"/>
      <c r="F80" s="443"/>
      <c r="G80" s="443"/>
      <c r="H80" s="443"/>
      <c r="I80" s="443"/>
      <c r="J80" s="443"/>
      <c r="K80" s="443"/>
      <c r="L80" s="443"/>
      <c r="M80" s="443"/>
      <c r="N80" s="443"/>
      <c r="O80" s="443"/>
      <c r="P80" s="443"/>
      <c r="Q80" s="443"/>
      <c r="R80" s="443"/>
      <c r="S80" s="443"/>
      <c r="T80" s="429"/>
      <c r="U80" s="429"/>
      <c r="V80" s="429"/>
      <c r="W80" s="429"/>
      <c r="X80" s="429"/>
      <c r="Y80" s="429"/>
    </row>
    <row r="81" spans="1:25" ht="18">
      <c r="A81" s="432"/>
      <c r="B81" s="431"/>
      <c r="C81" s="430"/>
      <c r="D81" s="443"/>
      <c r="E81" s="443"/>
      <c r="F81" s="443"/>
      <c r="G81" s="443"/>
      <c r="H81" s="443"/>
      <c r="I81" s="443"/>
      <c r="J81" s="443"/>
      <c r="K81" s="443"/>
      <c r="L81" s="443"/>
      <c r="M81" s="443"/>
      <c r="N81" s="443"/>
      <c r="O81" s="443"/>
      <c r="P81" s="443"/>
      <c r="Q81" s="443"/>
      <c r="R81" s="443"/>
      <c r="S81" s="443"/>
      <c r="T81" s="429"/>
      <c r="U81" s="429"/>
      <c r="V81" s="429"/>
      <c r="W81" s="429"/>
      <c r="X81" s="429"/>
      <c r="Y81" s="429"/>
    </row>
    <row r="82" spans="1:25" ht="18">
      <c r="A82" s="432"/>
      <c r="B82" s="442"/>
      <c r="C82" s="430"/>
      <c r="D82" s="443"/>
      <c r="E82" s="443"/>
      <c r="F82" s="443"/>
      <c r="G82" s="443"/>
      <c r="H82" s="443"/>
      <c r="I82" s="443"/>
      <c r="J82" s="443"/>
      <c r="K82" s="443"/>
      <c r="L82" s="443"/>
      <c r="M82" s="443"/>
      <c r="N82" s="443"/>
      <c r="O82" s="443"/>
      <c r="P82" s="443"/>
      <c r="Q82" s="443"/>
      <c r="R82" s="443"/>
      <c r="S82" s="443"/>
      <c r="T82" s="429"/>
      <c r="U82" s="429"/>
      <c r="V82" s="429"/>
      <c r="W82" s="429"/>
      <c r="X82" s="429"/>
      <c r="Y82" s="429"/>
    </row>
    <row r="83" spans="1:27" ht="18">
      <c r="A83" s="448"/>
      <c r="B83" s="447"/>
      <c r="C83" s="446"/>
      <c r="D83" s="443"/>
      <c r="E83" s="443"/>
      <c r="F83" s="443"/>
      <c r="G83" s="443"/>
      <c r="H83" s="443"/>
      <c r="I83" s="443"/>
      <c r="J83" s="443"/>
      <c r="K83" s="443"/>
      <c r="L83" s="443"/>
      <c r="M83" s="443"/>
      <c r="N83" s="443"/>
      <c r="O83" s="443"/>
      <c r="P83" s="443"/>
      <c r="Q83" s="443"/>
      <c r="R83" s="443"/>
      <c r="S83" s="443"/>
      <c r="T83" s="445"/>
      <c r="U83" s="445"/>
      <c r="V83" s="445"/>
      <c r="W83" s="445"/>
      <c r="X83" s="445"/>
      <c r="Y83" s="445"/>
      <c r="Z83" s="444"/>
      <c r="AA83" s="444"/>
    </row>
    <row r="84" spans="1:25" ht="18">
      <c r="A84" s="432"/>
      <c r="B84" s="431"/>
      <c r="C84" s="430"/>
      <c r="D84" s="443"/>
      <c r="E84" s="443"/>
      <c r="F84" s="443"/>
      <c r="G84" s="443"/>
      <c r="H84" s="443"/>
      <c r="I84" s="443"/>
      <c r="J84" s="443"/>
      <c r="K84" s="443"/>
      <c r="L84" s="443"/>
      <c r="M84" s="443"/>
      <c r="N84" s="443"/>
      <c r="O84" s="443"/>
      <c r="P84" s="443"/>
      <c r="Q84" s="443"/>
      <c r="R84" s="443"/>
      <c r="S84" s="443"/>
      <c r="T84" s="429"/>
      <c r="U84" s="429"/>
      <c r="V84" s="429"/>
      <c r="W84" s="429"/>
      <c r="X84" s="429"/>
      <c r="Y84" s="429"/>
    </row>
    <row r="85" spans="1:25" ht="18">
      <c r="A85" s="432"/>
      <c r="B85" s="431"/>
      <c r="C85" s="430"/>
      <c r="D85" s="443"/>
      <c r="E85" s="443"/>
      <c r="F85" s="443"/>
      <c r="G85" s="443"/>
      <c r="H85" s="443"/>
      <c r="I85" s="443"/>
      <c r="J85" s="443"/>
      <c r="K85" s="443"/>
      <c r="L85" s="443"/>
      <c r="M85" s="443"/>
      <c r="N85" s="443"/>
      <c r="O85" s="443"/>
      <c r="P85" s="443"/>
      <c r="Q85" s="443"/>
      <c r="R85" s="443"/>
      <c r="S85" s="443"/>
      <c r="T85" s="429"/>
      <c r="U85" s="429"/>
      <c r="V85" s="429"/>
      <c r="W85" s="429"/>
      <c r="X85" s="429"/>
      <c r="Y85" s="429"/>
    </row>
    <row r="86" spans="1:25" ht="18">
      <c r="A86" s="432"/>
      <c r="B86" s="431"/>
      <c r="C86" s="430"/>
      <c r="D86" s="443"/>
      <c r="E86" s="443"/>
      <c r="F86" s="443"/>
      <c r="G86" s="443"/>
      <c r="H86" s="443"/>
      <c r="I86" s="443"/>
      <c r="J86" s="443"/>
      <c r="K86" s="443"/>
      <c r="L86" s="443"/>
      <c r="M86" s="443"/>
      <c r="N86" s="443"/>
      <c r="O86" s="443"/>
      <c r="P86" s="443"/>
      <c r="Q86" s="443"/>
      <c r="R86" s="443"/>
      <c r="S86" s="443"/>
      <c r="T86" s="429"/>
      <c r="U86" s="429"/>
      <c r="V86" s="429"/>
      <c r="W86" s="429"/>
      <c r="X86" s="429"/>
      <c r="Y86" s="429"/>
    </row>
    <row r="87" spans="1:25" ht="18">
      <c r="A87" s="432"/>
      <c r="B87" s="431"/>
      <c r="C87" s="430"/>
      <c r="D87" s="443"/>
      <c r="E87" s="443"/>
      <c r="F87" s="443"/>
      <c r="G87" s="443"/>
      <c r="H87" s="443"/>
      <c r="I87" s="443"/>
      <c r="J87" s="443"/>
      <c r="K87" s="443"/>
      <c r="L87" s="443"/>
      <c r="M87" s="443"/>
      <c r="N87" s="443"/>
      <c r="O87" s="443"/>
      <c r="P87" s="443"/>
      <c r="Q87" s="443"/>
      <c r="R87" s="443"/>
      <c r="S87" s="443"/>
      <c r="T87" s="429"/>
      <c r="U87" s="429"/>
      <c r="V87" s="429"/>
      <c r="W87" s="429"/>
      <c r="X87" s="429"/>
      <c r="Y87" s="429"/>
    </row>
    <row r="88" spans="1:25" ht="18">
      <c r="A88" s="432"/>
      <c r="B88" s="431"/>
      <c r="C88" s="430"/>
      <c r="D88" s="443"/>
      <c r="E88" s="443"/>
      <c r="F88" s="443"/>
      <c r="G88" s="443"/>
      <c r="H88" s="443"/>
      <c r="I88" s="443"/>
      <c r="J88" s="443"/>
      <c r="K88" s="443"/>
      <c r="L88" s="443"/>
      <c r="M88" s="443"/>
      <c r="N88" s="443"/>
      <c r="O88" s="443"/>
      <c r="P88" s="443"/>
      <c r="Q88" s="443"/>
      <c r="R88" s="443"/>
      <c r="S88" s="443"/>
      <c r="T88" s="429"/>
      <c r="U88" s="429"/>
      <c r="V88" s="429"/>
      <c r="W88" s="429"/>
      <c r="X88" s="429"/>
      <c r="Y88" s="429"/>
    </row>
    <row r="89" spans="1:25" ht="18">
      <c r="A89" s="432"/>
      <c r="B89" s="442"/>
      <c r="C89" s="436"/>
      <c r="D89" s="443"/>
      <c r="E89" s="443"/>
      <c r="F89" s="443"/>
      <c r="G89" s="443"/>
      <c r="H89" s="443"/>
      <c r="I89" s="443"/>
      <c r="J89" s="443"/>
      <c r="K89" s="443"/>
      <c r="L89" s="443"/>
      <c r="M89" s="443"/>
      <c r="N89" s="443"/>
      <c r="O89" s="443"/>
      <c r="P89" s="443"/>
      <c r="Q89" s="443"/>
      <c r="R89" s="443"/>
      <c r="S89" s="443"/>
      <c r="T89" s="429"/>
      <c r="U89" s="429"/>
      <c r="V89" s="429"/>
      <c r="W89" s="429"/>
      <c r="X89" s="429"/>
      <c r="Y89" s="429"/>
    </row>
    <row r="90" spans="1:25" ht="18">
      <c r="A90" s="432"/>
      <c r="B90" s="431"/>
      <c r="C90" s="430"/>
      <c r="D90" s="443"/>
      <c r="E90" s="443"/>
      <c r="F90" s="443"/>
      <c r="G90" s="443"/>
      <c r="H90" s="443"/>
      <c r="I90" s="443"/>
      <c r="J90" s="443"/>
      <c r="K90" s="443"/>
      <c r="L90" s="443"/>
      <c r="M90" s="443"/>
      <c r="N90" s="443"/>
      <c r="O90" s="443"/>
      <c r="P90" s="443"/>
      <c r="Q90" s="443"/>
      <c r="R90" s="443"/>
      <c r="S90" s="443"/>
      <c r="T90" s="429"/>
      <c r="U90" s="429"/>
      <c r="V90" s="429"/>
      <c r="W90" s="429"/>
      <c r="X90" s="429"/>
      <c r="Y90" s="429"/>
    </row>
    <row r="91" spans="1:25" ht="18">
      <c r="A91" s="432"/>
      <c r="B91" s="442"/>
      <c r="C91" s="430"/>
      <c r="D91" s="443"/>
      <c r="E91" s="443"/>
      <c r="F91" s="443"/>
      <c r="G91" s="443"/>
      <c r="H91" s="443"/>
      <c r="I91" s="443"/>
      <c r="J91" s="443"/>
      <c r="K91" s="443"/>
      <c r="L91" s="443"/>
      <c r="M91" s="443"/>
      <c r="N91" s="443"/>
      <c r="O91" s="443"/>
      <c r="P91" s="443"/>
      <c r="Q91" s="443"/>
      <c r="R91" s="443"/>
      <c r="S91" s="443"/>
      <c r="T91" s="429"/>
      <c r="U91" s="429"/>
      <c r="V91" s="429"/>
      <c r="W91" s="429"/>
      <c r="X91" s="429"/>
      <c r="Y91" s="429"/>
    </row>
    <row r="92" spans="1:25" ht="18">
      <c r="A92" s="432"/>
      <c r="B92" s="431"/>
      <c r="C92" s="430"/>
      <c r="D92" s="443"/>
      <c r="E92" s="443"/>
      <c r="F92" s="443"/>
      <c r="G92" s="443"/>
      <c r="H92" s="443"/>
      <c r="I92" s="443"/>
      <c r="J92" s="443"/>
      <c r="K92" s="443"/>
      <c r="L92" s="443"/>
      <c r="M92" s="443"/>
      <c r="N92" s="443"/>
      <c r="O92" s="443"/>
      <c r="P92" s="443"/>
      <c r="Q92" s="443"/>
      <c r="R92" s="443"/>
      <c r="S92" s="443"/>
      <c r="T92" s="438"/>
      <c r="U92" s="429"/>
      <c r="V92" s="429"/>
      <c r="W92" s="429"/>
      <c r="X92" s="429"/>
      <c r="Y92" s="429"/>
    </row>
    <row r="93" spans="1:25" ht="18" hidden="1">
      <c r="A93" s="432"/>
      <c r="B93" s="442"/>
      <c r="C93" s="430"/>
      <c r="D93" s="443"/>
      <c r="E93" s="443"/>
      <c r="F93" s="443"/>
      <c r="G93" s="443"/>
      <c r="H93" s="443"/>
      <c r="I93" s="443"/>
      <c r="J93" s="443"/>
      <c r="K93" s="443"/>
      <c r="L93" s="443"/>
      <c r="M93" s="443"/>
      <c r="N93" s="443"/>
      <c r="O93" s="443"/>
      <c r="P93" s="443"/>
      <c r="Q93" s="443"/>
      <c r="R93" s="443"/>
      <c r="S93" s="443"/>
      <c r="T93" s="437"/>
      <c r="U93" s="429"/>
      <c r="V93" s="429"/>
      <c r="W93" s="429"/>
      <c r="X93" s="429"/>
      <c r="Y93" s="429"/>
    </row>
    <row r="94" spans="1:25" ht="18" hidden="1">
      <c r="A94" s="432"/>
      <c r="B94" s="431"/>
      <c r="C94" s="430"/>
      <c r="D94" s="443"/>
      <c r="E94" s="443"/>
      <c r="F94" s="443"/>
      <c r="G94" s="443"/>
      <c r="H94" s="443"/>
      <c r="I94" s="443"/>
      <c r="J94" s="443"/>
      <c r="K94" s="443"/>
      <c r="L94" s="443"/>
      <c r="M94" s="443"/>
      <c r="N94" s="443"/>
      <c r="O94" s="443"/>
      <c r="P94" s="443"/>
      <c r="Q94" s="443"/>
      <c r="R94" s="443"/>
      <c r="S94" s="443"/>
      <c r="T94" s="437"/>
      <c r="U94" s="429"/>
      <c r="V94" s="429"/>
      <c r="W94" s="429"/>
      <c r="X94" s="429"/>
      <c r="Y94" s="429"/>
    </row>
    <row r="95" spans="1:25" ht="18" hidden="1">
      <c r="A95" s="432"/>
      <c r="B95" s="431"/>
      <c r="C95" s="430"/>
      <c r="D95" s="443"/>
      <c r="E95" s="443"/>
      <c r="F95" s="443"/>
      <c r="G95" s="443"/>
      <c r="H95" s="443"/>
      <c r="I95" s="443"/>
      <c r="J95" s="443"/>
      <c r="K95" s="443"/>
      <c r="L95" s="443"/>
      <c r="M95" s="443"/>
      <c r="N95" s="443"/>
      <c r="O95" s="443"/>
      <c r="P95" s="443"/>
      <c r="Q95" s="443"/>
      <c r="R95" s="443"/>
      <c r="S95" s="443"/>
      <c r="T95" s="437"/>
      <c r="U95" s="429"/>
      <c r="V95" s="429"/>
      <c r="W95" s="429"/>
      <c r="X95" s="429"/>
      <c r="Y95" s="429"/>
    </row>
    <row r="96" spans="1:25" ht="18" hidden="1">
      <c r="A96" s="432"/>
      <c r="B96" s="431"/>
      <c r="C96" s="430"/>
      <c r="D96" s="443"/>
      <c r="E96" s="443"/>
      <c r="F96" s="443"/>
      <c r="G96" s="443"/>
      <c r="H96" s="443"/>
      <c r="I96" s="443"/>
      <c r="J96" s="443"/>
      <c r="K96" s="443"/>
      <c r="L96" s="443"/>
      <c r="M96" s="443"/>
      <c r="N96" s="443"/>
      <c r="O96" s="443"/>
      <c r="P96" s="443"/>
      <c r="Q96" s="443"/>
      <c r="R96" s="443"/>
      <c r="S96" s="443"/>
      <c r="T96" s="437"/>
      <c r="U96" s="429"/>
      <c r="V96" s="429"/>
      <c r="W96" s="429"/>
      <c r="X96" s="429"/>
      <c r="Y96" s="429"/>
    </row>
    <row r="97" spans="1:25" ht="18" hidden="1">
      <c r="A97" s="432"/>
      <c r="B97" s="431"/>
      <c r="C97" s="430"/>
      <c r="D97" s="443"/>
      <c r="E97" s="443"/>
      <c r="F97" s="443"/>
      <c r="G97" s="443"/>
      <c r="H97" s="443"/>
      <c r="I97" s="443"/>
      <c r="J97" s="443"/>
      <c r="K97" s="443"/>
      <c r="L97" s="443"/>
      <c r="M97" s="443"/>
      <c r="N97" s="443"/>
      <c r="O97" s="443"/>
      <c r="P97" s="443"/>
      <c r="Q97" s="443"/>
      <c r="R97" s="443"/>
      <c r="S97" s="443"/>
      <c r="T97" s="435"/>
      <c r="U97" s="429"/>
      <c r="V97" s="429"/>
      <c r="W97" s="429"/>
      <c r="X97" s="429"/>
      <c r="Y97" s="429"/>
    </row>
    <row r="98" spans="1:25" ht="18" hidden="1">
      <c r="A98" s="432"/>
      <c r="B98" s="442"/>
      <c r="C98" s="436"/>
      <c r="D98" s="443"/>
      <c r="E98" s="443"/>
      <c r="F98" s="443"/>
      <c r="G98" s="443"/>
      <c r="H98" s="443"/>
      <c r="I98" s="443"/>
      <c r="J98" s="443"/>
      <c r="K98" s="443"/>
      <c r="L98" s="443"/>
      <c r="M98" s="443"/>
      <c r="N98" s="443"/>
      <c r="O98" s="443"/>
      <c r="P98" s="443"/>
      <c r="Q98" s="443"/>
      <c r="R98" s="443"/>
      <c r="S98" s="443"/>
      <c r="T98" s="429"/>
      <c r="U98" s="429"/>
      <c r="V98" s="429"/>
      <c r="W98" s="429"/>
      <c r="X98" s="429"/>
      <c r="Y98" s="429"/>
    </row>
    <row r="99" spans="1:25" ht="18">
      <c r="A99" s="432"/>
      <c r="B99" s="442"/>
      <c r="C99" s="430"/>
      <c r="D99" s="443"/>
      <c r="E99" s="443"/>
      <c r="F99" s="443"/>
      <c r="G99" s="443"/>
      <c r="H99" s="443"/>
      <c r="I99" s="443"/>
      <c r="J99" s="443"/>
      <c r="K99" s="443"/>
      <c r="L99" s="443"/>
      <c r="M99" s="443"/>
      <c r="N99" s="443"/>
      <c r="O99" s="443"/>
      <c r="P99" s="443"/>
      <c r="Q99" s="443"/>
      <c r="R99" s="443"/>
      <c r="S99" s="443"/>
      <c r="T99" s="437"/>
      <c r="U99" s="429"/>
      <c r="V99" s="429"/>
      <c r="W99" s="429"/>
      <c r="X99" s="429"/>
      <c r="Y99" s="429"/>
    </row>
    <row r="100" spans="1:25" ht="18">
      <c r="A100" s="432"/>
      <c r="B100" s="431"/>
      <c r="C100" s="430"/>
      <c r="D100" s="443"/>
      <c r="E100" s="443"/>
      <c r="F100" s="443"/>
      <c r="G100" s="443"/>
      <c r="H100" s="443"/>
      <c r="I100" s="443"/>
      <c r="J100" s="443"/>
      <c r="K100" s="443"/>
      <c r="L100" s="443"/>
      <c r="M100" s="443"/>
      <c r="N100" s="443"/>
      <c r="O100" s="443"/>
      <c r="P100" s="443"/>
      <c r="Q100" s="443"/>
      <c r="R100" s="443"/>
      <c r="S100" s="443"/>
      <c r="T100" s="437"/>
      <c r="U100" s="429"/>
      <c r="V100" s="429"/>
      <c r="W100" s="429"/>
      <c r="X100" s="429"/>
      <c r="Y100" s="429"/>
    </row>
    <row r="101" spans="1:25" ht="18">
      <c r="A101" s="432"/>
      <c r="B101" s="431"/>
      <c r="C101" s="430"/>
      <c r="D101" s="443"/>
      <c r="E101" s="443"/>
      <c r="F101" s="443"/>
      <c r="G101" s="443"/>
      <c r="H101" s="443"/>
      <c r="I101" s="443"/>
      <c r="J101" s="443"/>
      <c r="K101" s="443"/>
      <c r="L101" s="443"/>
      <c r="M101" s="443"/>
      <c r="N101" s="443"/>
      <c r="O101" s="443"/>
      <c r="P101" s="443"/>
      <c r="Q101" s="443"/>
      <c r="R101" s="443"/>
      <c r="S101" s="443"/>
      <c r="T101" s="437"/>
      <c r="U101" s="429"/>
      <c r="V101" s="429"/>
      <c r="W101" s="429"/>
      <c r="X101" s="429"/>
      <c r="Y101" s="429"/>
    </row>
    <row r="102" spans="1:25" ht="18">
      <c r="A102" s="432"/>
      <c r="B102" s="431"/>
      <c r="C102" s="430"/>
      <c r="D102" s="443"/>
      <c r="E102" s="443"/>
      <c r="F102" s="443"/>
      <c r="G102" s="443"/>
      <c r="H102" s="443"/>
      <c r="I102" s="443"/>
      <c r="J102" s="443"/>
      <c r="K102" s="443"/>
      <c r="L102" s="443"/>
      <c r="M102" s="443"/>
      <c r="N102" s="443"/>
      <c r="O102" s="443"/>
      <c r="P102" s="443"/>
      <c r="Q102" s="443"/>
      <c r="R102" s="443"/>
      <c r="S102" s="443"/>
      <c r="T102" s="437"/>
      <c r="U102" s="429"/>
      <c r="V102" s="429"/>
      <c r="W102" s="429"/>
      <c r="X102" s="429"/>
      <c r="Y102" s="429"/>
    </row>
    <row r="103" spans="1:25" ht="18">
      <c r="A103" s="432"/>
      <c r="B103" s="431"/>
      <c r="C103" s="430"/>
      <c r="D103" s="433"/>
      <c r="E103" s="433"/>
      <c r="F103" s="433"/>
      <c r="G103" s="433"/>
      <c r="H103" s="433"/>
      <c r="I103" s="433"/>
      <c r="J103" s="433"/>
      <c r="K103" s="433"/>
      <c r="L103" s="433"/>
      <c r="M103" s="433"/>
      <c r="N103" s="433"/>
      <c r="O103" s="433"/>
      <c r="P103" s="433"/>
      <c r="Q103" s="429"/>
      <c r="R103" s="435"/>
      <c r="S103" s="435"/>
      <c r="T103" s="435"/>
      <c r="U103" s="429"/>
      <c r="V103" s="429"/>
      <c r="W103" s="429"/>
      <c r="X103" s="429"/>
      <c r="Y103" s="429"/>
    </row>
    <row r="104" spans="1:25" ht="18">
      <c r="A104" s="432"/>
      <c r="B104" s="431"/>
      <c r="C104" s="430"/>
      <c r="D104" s="433"/>
      <c r="E104" s="433"/>
      <c r="F104" s="433"/>
      <c r="G104" s="433"/>
      <c r="H104" s="433"/>
      <c r="I104" s="433"/>
      <c r="J104" s="433"/>
      <c r="K104" s="433"/>
      <c r="L104" s="433"/>
      <c r="M104" s="433"/>
      <c r="N104" s="433"/>
      <c r="O104" s="433"/>
      <c r="P104" s="433"/>
      <c r="Q104" s="429"/>
      <c r="R104" s="429"/>
      <c r="S104" s="429"/>
      <c r="T104" s="429"/>
      <c r="U104" s="429"/>
      <c r="V104" s="429"/>
      <c r="W104" s="429"/>
      <c r="X104" s="429"/>
      <c r="Y104" s="429"/>
    </row>
    <row r="105" spans="1:25" ht="18" hidden="1">
      <c r="A105" s="432"/>
      <c r="B105" s="442"/>
      <c r="C105" s="430"/>
      <c r="D105" s="429"/>
      <c r="E105" s="429"/>
      <c r="F105" s="429"/>
      <c r="G105" s="429"/>
      <c r="H105" s="429"/>
      <c r="I105" s="429"/>
      <c r="J105" s="429"/>
      <c r="K105" s="429"/>
      <c r="L105" s="429"/>
      <c r="M105" s="429"/>
      <c r="N105" s="429"/>
      <c r="O105" s="429"/>
      <c r="P105" s="429"/>
      <c r="Q105" s="429"/>
      <c r="R105" s="429"/>
      <c r="S105" s="429"/>
      <c r="T105" s="429"/>
      <c r="U105" s="429"/>
      <c r="V105" s="429"/>
      <c r="W105" s="429"/>
      <c r="X105" s="429"/>
      <c r="Y105" s="429"/>
    </row>
    <row r="106" spans="1:25" ht="18" hidden="1">
      <c r="A106" s="432"/>
      <c r="B106" s="431"/>
      <c r="C106" s="430"/>
      <c r="D106" s="429"/>
      <c r="E106" s="429"/>
      <c r="F106" s="429"/>
      <c r="G106" s="429"/>
      <c r="H106" s="429"/>
      <c r="I106" s="429"/>
      <c r="J106" s="429"/>
      <c r="K106" s="429"/>
      <c r="L106" s="429"/>
      <c r="M106" s="429"/>
      <c r="N106" s="429"/>
      <c r="O106" s="429"/>
      <c r="P106" s="429"/>
      <c r="Q106" s="429"/>
      <c r="R106" s="429"/>
      <c r="S106" s="429"/>
      <c r="T106" s="429"/>
      <c r="U106" s="429"/>
      <c r="V106" s="429"/>
      <c r="W106" s="429"/>
      <c r="X106" s="429"/>
      <c r="Y106" s="429"/>
    </row>
    <row r="107" spans="1:25" ht="18" hidden="1">
      <c r="A107" s="432"/>
      <c r="B107" s="441"/>
      <c r="C107" s="440"/>
      <c r="D107" s="440"/>
      <c r="E107" s="439"/>
      <c r="F107" s="439"/>
      <c r="G107" s="439"/>
      <c r="H107" s="439"/>
      <c r="I107" s="439"/>
      <c r="J107" s="439"/>
      <c r="K107" s="439"/>
      <c r="L107" s="439"/>
      <c r="M107" s="439"/>
      <c r="N107" s="439"/>
      <c r="O107" s="439"/>
      <c r="P107" s="439"/>
      <c r="Q107" s="439"/>
      <c r="R107" s="438"/>
      <c r="S107" s="438"/>
      <c r="T107" s="429"/>
      <c r="U107" s="429"/>
      <c r="V107" s="429"/>
      <c r="W107" s="429"/>
      <c r="X107" s="429"/>
      <c r="Y107" s="429"/>
    </row>
    <row r="108" spans="1:25" ht="18" hidden="1">
      <c r="A108" s="432"/>
      <c r="B108" s="431"/>
      <c r="C108" s="430"/>
      <c r="D108" s="429"/>
      <c r="E108" s="437"/>
      <c r="F108" s="437"/>
      <c r="G108" s="437"/>
      <c r="H108" s="437"/>
      <c r="I108" s="437"/>
      <c r="J108" s="437"/>
      <c r="K108" s="437"/>
      <c r="L108" s="437"/>
      <c r="M108" s="437"/>
      <c r="N108" s="437"/>
      <c r="O108" s="437"/>
      <c r="P108" s="437"/>
      <c r="Q108" s="437"/>
      <c r="R108" s="437"/>
      <c r="S108" s="434"/>
      <c r="T108" s="429"/>
      <c r="U108" s="429"/>
      <c r="V108" s="429"/>
      <c r="W108" s="429"/>
      <c r="X108" s="429"/>
      <c r="Y108" s="429"/>
    </row>
    <row r="109" spans="1:25" ht="18" hidden="1">
      <c r="A109" s="432"/>
      <c r="B109" s="431"/>
      <c r="C109" s="430"/>
      <c r="D109" s="429"/>
      <c r="E109" s="437"/>
      <c r="F109" s="437"/>
      <c r="G109" s="437"/>
      <c r="H109" s="437"/>
      <c r="I109" s="437"/>
      <c r="J109" s="437"/>
      <c r="K109" s="437"/>
      <c r="L109" s="437"/>
      <c r="M109" s="437"/>
      <c r="N109" s="437"/>
      <c r="O109" s="437"/>
      <c r="P109" s="437"/>
      <c r="Q109" s="437"/>
      <c r="R109" s="437"/>
      <c r="S109" s="434"/>
      <c r="T109" s="429"/>
      <c r="U109" s="429"/>
      <c r="V109" s="429"/>
      <c r="W109" s="429"/>
      <c r="X109" s="429"/>
      <c r="Y109" s="429"/>
    </row>
    <row r="110" spans="1:25" ht="18" hidden="1">
      <c r="A110" s="432"/>
      <c r="B110" s="431"/>
      <c r="C110" s="430"/>
      <c r="D110" s="429"/>
      <c r="E110" s="437"/>
      <c r="F110" s="437"/>
      <c r="G110" s="437"/>
      <c r="H110" s="437"/>
      <c r="I110" s="437"/>
      <c r="J110" s="437"/>
      <c r="K110" s="437"/>
      <c r="L110" s="437"/>
      <c r="M110" s="437"/>
      <c r="N110" s="437"/>
      <c r="O110" s="437"/>
      <c r="P110" s="437"/>
      <c r="Q110" s="437"/>
      <c r="R110" s="437"/>
      <c r="S110" s="434"/>
      <c r="T110" s="429"/>
      <c r="U110" s="429"/>
      <c r="V110" s="429"/>
      <c r="W110" s="429"/>
      <c r="X110" s="429"/>
      <c r="Y110" s="429"/>
    </row>
    <row r="111" spans="1:25" ht="18" hidden="1">
      <c r="A111" s="432"/>
      <c r="B111" s="431"/>
      <c r="C111" s="430"/>
      <c r="D111" s="429"/>
      <c r="E111" s="437"/>
      <c r="F111" s="437"/>
      <c r="G111" s="437"/>
      <c r="H111" s="437"/>
      <c r="I111" s="437"/>
      <c r="J111" s="437"/>
      <c r="K111" s="437"/>
      <c r="L111" s="437"/>
      <c r="M111" s="437"/>
      <c r="N111" s="437"/>
      <c r="O111" s="437"/>
      <c r="P111" s="437"/>
      <c r="Q111" s="437"/>
      <c r="R111" s="437"/>
      <c r="S111" s="434"/>
      <c r="T111" s="429"/>
      <c r="U111" s="429"/>
      <c r="V111" s="429"/>
      <c r="W111" s="429"/>
      <c r="X111" s="429"/>
      <c r="Y111" s="429"/>
    </row>
    <row r="112" spans="1:25" ht="18" hidden="1">
      <c r="A112" s="432"/>
      <c r="B112" s="431"/>
      <c r="C112" s="430"/>
      <c r="D112" s="429"/>
      <c r="E112" s="429"/>
      <c r="F112" s="429"/>
      <c r="G112" s="429"/>
      <c r="H112" s="429"/>
      <c r="I112" s="429"/>
      <c r="J112" s="429"/>
      <c r="K112" s="429"/>
      <c r="L112" s="429"/>
      <c r="M112" s="429"/>
      <c r="N112" s="429"/>
      <c r="O112" s="429"/>
      <c r="P112" s="429"/>
      <c r="Q112" s="429"/>
      <c r="R112" s="435"/>
      <c r="S112" s="435"/>
      <c r="T112" s="429"/>
      <c r="U112" s="429"/>
      <c r="V112" s="429"/>
      <c r="W112" s="429"/>
      <c r="X112" s="429"/>
      <c r="Y112" s="429"/>
    </row>
    <row r="113" spans="1:25" ht="18" hidden="1">
      <c r="A113" s="432"/>
      <c r="B113" s="431"/>
      <c r="C113" s="430"/>
      <c r="D113" s="429"/>
      <c r="E113" s="429"/>
      <c r="F113" s="429"/>
      <c r="G113" s="429"/>
      <c r="H113" s="429"/>
      <c r="I113" s="429"/>
      <c r="J113" s="429"/>
      <c r="K113" s="429"/>
      <c r="L113" s="429"/>
      <c r="M113" s="429"/>
      <c r="N113" s="429"/>
      <c r="O113" s="429"/>
      <c r="P113" s="429"/>
      <c r="Q113" s="429"/>
      <c r="R113" s="429"/>
      <c r="S113" s="429"/>
      <c r="T113" s="429"/>
      <c r="U113" s="429"/>
      <c r="V113" s="429"/>
      <c r="W113" s="429"/>
      <c r="X113" s="429"/>
      <c r="Y113" s="429"/>
    </row>
    <row r="114" spans="1:25" ht="18" hidden="1">
      <c r="A114" s="432"/>
      <c r="B114" s="431"/>
      <c r="C114" s="430"/>
      <c r="D114" s="429"/>
      <c r="E114" s="429"/>
      <c r="F114" s="429"/>
      <c r="G114" s="429"/>
      <c r="H114" s="429"/>
      <c r="I114" s="429"/>
      <c r="J114" s="429"/>
      <c r="K114" s="429"/>
      <c r="L114" s="429"/>
      <c r="M114" s="429"/>
      <c r="N114" s="429"/>
      <c r="O114" s="429"/>
      <c r="P114" s="429"/>
      <c r="Q114" s="429"/>
      <c r="R114" s="429"/>
      <c r="S114" s="429"/>
      <c r="T114" s="429"/>
      <c r="U114" s="429"/>
      <c r="V114" s="429"/>
      <c r="W114" s="429"/>
      <c r="X114" s="429"/>
      <c r="Y114" s="429"/>
    </row>
    <row r="115" spans="1:25" ht="18" hidden="1">
      <c r="A115" s="432"/>
      <c r="B115" s="431"/>
      <c r="C115" s="430"/>
      <c r="D115" s="429"/>
      <c r="E115" s="429"/>
      <c r="F115" s="429"/>
      <c r="G115" s="429"/>
      <c r="H115" s="429"/>
      <c r="I115" s="429"/>
      <c r="J115" s="429"/>
      <c r="K115" s="429"/>
      <c r="L115" s="429"/>
      <c r="M115" s="429"/>
      <c r="N115" s="429"/>
      <c r="O115" s="429"/>
      <c r="P115" s="429"/>
      <c r="Q115" s="429"/>
      <c r="R115" s="429"/>
      <c r="S115" s="429"/>
      <c r="T115" s="429"/>
      <c r="U115" s="429"/>
      <c r="V115" s="429"/>
      <c r="W115" s="429"/>
      <c r="X115" s="429"/>
      <c r="Y115" s="429"/>
    </row>
    <row r="116" spans="1:25" ht="18">
      <c r="A116" s="432"/>
      <c r="B116" s="442"/>
      <c r="C116" s="430"/>
      <c r="D116" s="429"/>
      <c r="E116" s="429"/>
      <c r="F116" s="429"/>
      <c r="G116" s="429"/>
      <c r="H116" s="429"/>
      <c r="I116" s="429"/>
      <c r="J116" s="429"/>
      <c r="K116" s="429"/>
      <c r="L116" s="429"/>
      <c r="M116" s="429"/>
      <c r="N116" s="429"/>
      <c r="O116" s="429"/>
      <c r="P116" s="429"/>
      <c r="Q116" s="429"/>
      <c r="R116" s="429"/>
      <c r="S116" s="429"/>
      <c r="T116" s="429"/>
      <c r="U116" s="429"/>
      <c r="V116" s="429"/>
      <c r="W116" s="429"/>
      <c r="X116" s="429"/>
      <c r="Y116" s="429"/>
    </row>
    <row r="117" spans="1:25" ht="18">
      <c r="A117" s="432"/>
      <c r="B117" s="431"/>
      <c r="C117" s="430"/>
      <c r="D117" s="429"/>
      <c r="E117" s="429"/>
      <c r="F117" s="429"/>
      <c r="G117" s="429"/>
      <c r="H117" s="429"/>
      <c r="I117" s="429"/>
      <c r="J117" s="429"/>
      <c r="K117" s="429"/>
      <c r="L117" s="429"/>
      <c r="M117" s="429"/>
      <c r="N117" s="429"/>
      <c r="O117" s="429"/>
      <c r="P117" s="429"/>
      <c r="Q117" s="429"/>
      <c r="R117" s="429"/>
      <c r="S117" s="429"/>
      <c r="T117" s="429"/>
      <c r="U117" s="429"/>
      <c r="V117" s="429"/>
      <c r="W117" s="429"/>
      <c r="X117" s="429"/>
      <c r="Y117" s="429"/>
    </row>
    <row r="118" spans="1:25" ht="18">
      <c r="A118" s="432"/>
      <c r="B118" s="441"/>
      <c r="C118" s="440"/>
      <c r="D118" s="440"/>
      <c r="E118" s="439"/>
      <c r="F118" s="439"/>
      <c r="G118" s="439"/>
      <c r="H118" s="439"/>
      <c r="I118" s="439"/>
      <c r="J118" s="439"/>
      <c r="K118" s="439"/>
      <c r="L118" s="439"/>
      <c r="M118" s="439"/>
      <c r="N118" s="439"/>
      <c r="O118" s="439"/>
      <c r="P118" s="439"/>
      <c r="Q118" s="439"/>
      <c r="R118" s="438"/>
      <c r="S118" s="438"/>
      <c r="T118" s="438"/>
      <c r="U118" s="429"/>
      <c r="V118" s="429"/>
      <c r="W118" s="429"/>
      <c r="X118" s="429"/>
      <c r="Y118" s="429"/>
    </row>
    <row r="119" spans="1:25" ht="18">
      <c r="A119" s="432"/>
      <c r="B119" s="431"/>
      <c r="C119" s="430"/>
      <c r="D119" s="429"/>
      <c r="E119" s="437"/>
      <c r="F119" s="437"/>
      <c r="G119" s="437"/>
      <c r="H119" s="437"/>
      <c r="I119" s="437"/>
      <c r="J119" s="437"/>
      <c r="K119" s="437"/>
      <c r="L119" s="437"/>
      <c r="M119" s="437"/>
      <c r="N119" s="437"/>
      <c r="O119" s="437"/>
      <c r="P119" s="437"/>
      <c r="Q119" s="437"/>
      <c r="R119" s="437"/>
      <c r="S119" s="434"/>
      <c r="T119" s="437"/>
      <c r="U119" s="429"/>
      <c r="V119" s="429"/>
      <c r="W119" s="429"/>
      <c r="X119" s="429"/>
      <c r="Y119" s="429"/>
    </row>
    <row r="120" spans="1:25" ht="18">
      <c r="A120" s="432"/>
      <c r="B120" s="431"/>
      <c r="C120" s="430"/>
      <c r="D120" s="429"/>
      <c r="E120" s="437"/>
      <c r="F120" s="437"/>
      <c r="G120" s="437"/>
      <c r="H120" s="437"/>
      <c r="I120" s="437"/>
      <c r="J120" s="437"/>
      <c r="K120" s="437"/>
      <c r="L120" s="437"/>
      <c r="M120" s="437"/>
      <c r="N120" s="437"/>
      <c r="O120" s="437"/>
      <c r="P120" s="437"/>
      <c r="Q120" s="437"/>
      <c r="R120" s="437"/>
      <c r="S120" s="434"/>
      <c r="T120" s="437"/>
      <c r="U120" s="429"/>
      <c r="V120" s="429"/>
      <c r="W120" s="429"/>
      <c r="X120" s="429"/>
      <c r="Y120" s="429"/>
    </row>
    <row r="121" spans="1:25" ht="18">
      <c r="A121" s="432"/>
      <c r="B121" s="431"/>
      <c r="C121" s="430"/>
      <c r="D121" s="429"/>
      <c r="E121" s="437"/>
      <c r="F121" s="437"/>
      <c r="G121" s="437"/>
      <c r="H121" s="437"/>
      <c r="I121" s="437"/>
      <c r="J121" s="437"/>
      <c r="K121" s="437"/>
      <c r="L121" s="437"/>
      <c r="M121" s="437"/>
      <c r="N121" s="437"/>
      <c r="O121" s="437"/>
      <c r="P121" s="437"/>
      <c r="Q121" s="437"/>
      <c r="R121" s="437"/>
      <c r="S121" s="434"/>
      <c r="T121" s="437"/>
      <c r="U121" s="429"/>
      <c r="V121" s="429"/>
      <c r="W121" s="429"/>
      <c r="X121" s="429"/>
      <c r="Y121" s="429"/>
    </row>
    <row r="122" spans="1:25" ht="18">
      <c r="A122" s="432"/>
      <c r="B122" s="431"/>
      <c r="C122" s="430"/>
      <c r="D122" s="429"/>
      <c r="E122" s="437"/>
      <c r="F122" s="437"/>
      <c r="G122" s="437"/>
      <c r="H122" s="437"/>
      <c r="I122" s="437"/>
      <c r="J122" s="437"/>
      <c r="K122" s="437"/>
      <c r="L122" s="437"/>
      <c r="M122" s="437"/>
      <c r="N122" s="437"/>
      <c r="O122" s="437"/>
      <c r="P122" s="437"/>
      <c r="Q122" s="437"/>
      <c r="R122" s="437"/>
      <c r="S122" s="434"/>
      <c r="T122" s="437"/>
      <c r="U122" s="429"/>
      <c r="V122" s="429"/>
      <c r="W122" s="429"/>
      <c r="X122" s="429"/>
      <c r="Y122" s="429"/>
    </row>
    <row r="123" spans="1:25" ht="18">
      <c r="A123" s="432"/>
      <c r="B123" s="431"/>
      <c r="C123" s="436"/>
      <c r="D123" s="429"/>
      <c r="E123" s="433"/>
      <c r="F123" s="433"/>
      <c r="G123" s="433"/>
      <c r="H123" s="433"/>
      <c r="I123" s="433"/>
      <c r="J123" s="433"/>
      <c r="K123" s="433"/>
      <c r="L123" s="433"/>
      <c r="M123" s="433"/>
      <c r="N123" s="433"/>
      <c r="O123" s="433"/>
      <c r="P123" s="433"/>
      <c r="Q123" s="433"/>
      <c r="R123" s="435"/>
      <c r="S123" s="435"/>
      <c r="T123" s="435"/>
      <c r="U123" s="429"/>
      <c r="V123" s="429"/>
      <c r="W123" s="429"/>
      <c r="X123" s="429"/>
      <c r="Y123" s="429"/>
    </row>
    <row r="124" spans="1:25" ht="18">
      <c r="A124" s="432"/>
      <c r="B124" s="431"/>
      <c r="C124" s="430"/>
      <c r="D124" s="429"/>
      <c r="E124" s="429"/>
      <c r="F124" s="429"/>
      <c r="G124" s="429"/>
      <c r="H124" s="429"/>
      <c r="I124" s="429"/>
      <c r="J124" s="429"/>
      <c r="K124" s="429"/>
      <c r="L124" s="429"/>
      <c r="M124" s="433"/>
      <c r="N124" s="429"/>
      <c r="O124" s="429"/>
      <c r="P124" s="429"/>
      <c r="Q124" s="429"/>
      <c r="R124" s="435"/>
      <c r="S124" s="429"/>
      <c r="T124" s="429"/>
      <c r="U124" s="429"/>
      <c r="V124" s="429"/>
      <c r="W124" s="429"/>
      <c r="X124" s="429"/>
      <c r="Y124" s="429"/>
    </row>
    <row r="125" spans="1:25" ht="18">
      <c r="A125" s="432"/>
      <c r="B125" s="431"/>
      <c r="C125" s="430"/>
      <c r="D125" s="429"/>
      <c r="E125" s="429"/>
      <c r="F125" s="429"/>
      <c r="G125" s="429"/>
      <c r="H125" s="429"/>
      <c r="I125" s="429"/>
      <c r="J125" s="429"/>
      <c r="K125" s="429"/>
      <c r="L125" s="429"/>
      <c r="M125" s="433"/>
      <c r="N125" s="429"/>
      <c r="O125" s="429"/>
      <c r="P125" s="429"/>
      <c r="Q125" s="429"/>
      <c r="R125" s="433"/>
      <c r="S125" s="429"/>
      <c r="T125" s="429"/>
      <c r="U125" s="429"/>
      <c r="V125" s="429"/>
      <c r="W125" s="429"/>
      <c r="X125" s="429"/>
      <c r="Y125" s="429"/>
    </row>
    <row r="126" spans="1:25" ht="18">
      <c r="A126" s="432"/>
      <c r="B126" s="431"/>
      <c r="C126" s="430"/>
      <c r="D126" s="429"/>
      <c r="E126" s="429"/>
      <c r="F126" s="429"/>
      <c r="G126" s="429"/>
      <c r="H126" s="429"/>
      <c r="I126" s="429"/>
      <c r="J126" s="429"/>
      <c r="K126" s="429"/>
      <c r="L126" s="429"/>
      <c r="M126" s="434"/>
      <c r="N126" s="429"/>
      <c r="O126" s="434"/>
      <c r="P126" s="434"/>
      <c r="Q126" s="429"/>
      <c r="R126" s="433"/>
      <c r="S126" s="429"/>
      <c r="T126" s="429"/>
      <c r="U126" s="429"/>
      <c r="V126" s="429"/>
      <c r="W126" s="429"/>
      <c r="X126" s="429"/>
      <c r="Y126" s="429"/>
    </row>
    <row r="127" spans="1:25" ht="18">
      <c r="A127" s="432"/>
      <c r="B127" s="431"/>
      <c r="C127" s="430"/>
      <c r="D127" s="429"/>
      <c r="E127" s="429"/>
      <c r="F127" s="429"/>
      <c r="G127" s="429"/>
      <c r="H127" s="429"/>
      <c r="I127" s="429"/>
      <c r="J127" s="429"/>
      <c r="K127" s="429"/>
      <c r="L127" s="429"/>
      <c r="M127" s="429"/>
      <c r="N127" s="429"/>
      <c r="O127" s="429"/>
      <c r="P127" s="429"/>
      <c r="Q127" s="429"/>
      <c r="R127" s="429"/>
      <c r="S127" s="429"/>
      <c r="T127" s="429"/>
      <c r="U127" s="429"/>
      <c r="V127" s="429"/>
      <c r="W127" s="429"/>
      <c r="X127" s="429"/>
      <c r="Y127" s="429"/>
    </row>
    <row r="128" spans="1:25" ht="18">
      <c r="A128" s="432"/>
      <c r="B128" s="431"/>
      <c r="C128" s="430"/>
      <c r="D128" s="429"/>
      <c r="E128" s="429"/>
      <c r="F128" s="429"/>
      <c r="G128" s="429"/>
      <c r="H128" s="429"/>
      <c r="I128" s="429"/>
      <c r="J128" s="429"/>
      <c r="K128" s="429"/>
      <c r="L128" s="429"/>
      <c r="M128" s="429"/>
      <c r="N128" s="429"/>
      <c r="O128" s="429"/>
      <c r="P128" s="429"/>
      <c r="Q128" s="429"/>
      <c r="R128" s="429"/>
      <c r="S128" s="429"/>
      <c r="T128" s="429"/>
      <c r="U128" s="429"/>
      <c r="V128" s="429"/>
      <c r="W128" s="429"/>
      <c r="X128" s="429"/>
      <c r="Y128" s="429"/>
    </row>
    <row r="129" spans="1:25" ht="18">
      <c r="A129" s="432"/>
      <c r="B129" s="431"/>
      <c r="C129" s="430"/>
      <c r="D129" s="429"/>
      <c r="E129" s="429"/>
      <c r="F129" s="429"/>
      <c r="G129" s="429">
        <v>701.8</v>
      </c>
      <c r="H129" s="429"/>
      <c r="I129" s="429"/>
      <c r="J129" s="429"/>
      <c r="K129" s="429"/>
      <c r="L129" s="429"/>
      <c r="M129" s="429"/>
      <c r="N129" s="429"/>
      <c r="O129" s="429"/>
      <c r="P129" s="429"/>
      <c r="Q129" s="429"/>
      <c r="R129" s="429"/>
      <c r="S129" s="429"/>
      <c r="T129" s="429"/>
      <c r="U129" s="429"/>
      <c r="V129" s="429"/>
      <c r="W129" s="429"/>
      <c r="X129" s="429"/>
      <c r="Y129" s="429"/>
    </row>
    <row r="130" spans="1:25" ht="18">
      <c r="A130" s="432"/>
      <c r="B130" s="431"/>
      <c r="C130" s="430"/>
      <c r="D130" s="429"/>
      <c r="E130" s="429"/>
      <c r="F130" s="429"/>
      <c r="G130" s="429">
        <v>743.16</v>
      </c>
      <c r="H130" s="429"/>
      <c r="I130" s="429"/>
      <c r="J130" s="429"/>
      <c r="K130" s="429"/>
      <c r="L130" s="429"/>
      <c r="M130" s="429"/>
      <c r="N130" s="429"/>
      <c r="O130" s="429"/>
      <c r="P130" s="429"/>
      <c r="Q130" s="429"/>
      <c r="R130" s="429"/>
      <c r="S130" s="429"/>
      <c r="T130" s="429"/>
      <c r="U130" s="429"/>
      <c r="V130" s="429"/>
      <c r="W130" s="429"/>
      <c r="X130" s="429"/>
      <c r="Y130" s="429"/>
    </row>
    <row r="131" spans="1:25" ht="18">
      <c r="A131" s="432"/>
      <c r="B131" s="431"/>
      <c r="C131" s="430"/>
      <c r="D131" s="429"/>
      <c r="E131" s="429"/>
      <c r="F131" s="429"/>
      <c r="G131" s="429">
        <v>692.78</v>
      </c>
      <c r="H131" s="429"/>
      <c r="I131" s="429"/>
      <c r="J131" s="429"/>
      <c r="K131" s="429"/>
      <c r="L131" s="429"/>
      <c r="M131" s="429"/>
      <c r="N131" s="429"/>
      <c r="O131" s="429"/>
      <c r="P131" s="429"/>
      <c r="Q131" s="429"/>
      <c r="R131" s="429"/>
      <c r="S131" s="429"/>
      <c r="T131" s="429"/>
      <c r="U131" s="429"/>
      <c r="V131" s="429"/>
      <c r="W131" s="429"/>
      <c r="X131" s="429"/>
      <c r="Y131" s="429"/>
    </row>
    <row r="132" spans="1:25" ht="18">
      <c r="A132" s="432"/>
      <c r="B132" s="431"/>
      <c r="C132" s="430"/>
      <c r="D132" s="429"/>
      <c r="E132" s="429"/>
      <c r="F132" s="429"/>
      <c r="G132" s="429">
        <v>717.54</v>
      </c>
      <c r="H132" s="429"/>
      <c r="I132" s="429"/>
      <c r="J132" s="429"/>
      <c r="K132" s="429"/>
      <c r="L132" s="429"/>
      <c r="M132" s="429"/>
      <c r="N132" s="429"/>
      <c r="O132" s="429"/>
      <c r="P132" s="429"/>
      <c r="Q132" s="429"/>
      <c r="R132" s="429"/>
      <c r="S132" s="429"/>
      <c r="T132" s="429"/>
      <c r="U132" s="429"/>
      <c r="V132" s="429"/>
      <c r="W132" s="429"/>
      <c r="X132" s="429"/>
      <c r="Y132" s="429"/>
    </row>
    <row r="133" ht="18">
      <c r="G133" s="425">
        <v>747.79</v>
      </c>
    </row>
    <row r="134" ht="18">
      <c r="G134" s="425">
        <v>728.21</v>
      </c>
    </row>
    <row r="135" ht="18">
      <c r="G135" s="425">
        <v>615.66</v>
      </c>
    </row>
    <row r="136" ht="18">
      <c r="G136" s="425">
        <f>SUM(G129:G135)</f>
        <v>4946.94</v>
      </c>
    </row>
    <row r="137" ht="18">
      <c r="G137" s="425">
        <v>7937</v>
      </c>
    </row>
    <row r="138" ht="18">
      <c r="G138" s="425">
        <f>G137-G136</f>
        <v>2990.0600000000004</v>
      </c>
    </row>
  </sheetData>
  <sheetProtection/>
  <mergeCells count="25">
    <mergeCell ref="C23:C26"/>
    <mergeCell ref="B53:B56"/>
    <mergeCell ref="B49:B52"/>
    <mergeCell ref="B45:B48"/>
    <mergeCell ref="B23:B26"/>
    <mergeCell ref="B28:B31"/>
    <mergeCell ref="B32:B35"/>
    <mergeCell ref="B36:B39"/>
    <mergeCell ref="B40:B43"/>
    <mergeCell ref="A19:A22"/>
    <mergeCell ref="A15:A18"/>
    <mergeCell ref="A11:A14"/>
    <mergeCell ref="A7:A10"/>
    <mergeCell ref="B19:B22"/>
    <mergeCell ref="B15:B18"/>
    <mergeCell ref="B11:B14"/>
    <mergeCell ref="B7:B10"/>
    <mergeCell ref="A40:A43"/>
    <mergeCell ref="A45:A48"/>
    <mergeCell ref="A49:A52"/>
    <mergeCell ref="A53:A56"/>
    <mergeCell ref="A23:A26"/>
    <mergeCell ref="A28:A31"/>
    <mergeCell ref="A32:A35"/>
    <mergeCell ref="A36:A39"/>
  </mergeCells>
  <printOptions gridLines="1" horizontalCentered="1" verticalCentered="1"/>
  <pageMargins left="0.45" right="0.2" top="0.49" bottom="0.26" header="0.5" footer="0.29"/>
  <pageSetup horizontalDpi="600" verticalDpi="600" orientation="landscape" paperSize="9" scale="51" r:id="rId1"/>
  <rowBreaks count="1" manualBreakCount="1">
    <brk id="27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8"/>
  <sheetViews>
    <sheetView view="pageBreakPreview" zoomScale="60" zoomScaleNormal="75" zoomScalePageLayoutView="0" workbookViewId="0" topLeftCell="B1">
      <selection activeCell="D18" sqref="D18:O18"/>
    </sheetView>
  </sheetViews>
  <sheetFormatPr defaultColWidth="20.57421875" defaultRowHeight="12.75"/>
  <cols>
    <col min="1" max="2" width="20.57421875" style="444" customWidth="1"/>
    <col min="3" max="3" width="78.8515625" style="476" customWidth="1"/>
    <col min="4" max="8" width="17.28125" style="444" bestFit="1" customWidth="1"/>
    <col min="9" max="9" width="19.140625" style="444" bestFit="1" customWidth="1"/>
    <col min="10" max="10" width="17.28125" style="444" bestFit="1" customWidth="1"/>
    <col min="11" max="12" width="17.421875" style="444" bestFit="1" customWidth="1"/>
    <col min="13" max="15" width="17.28125" style="444" bestFit="1" customWidth="1"/>
    <col min="16" max="16" width="19.28125" style="444" bestFit="1" customWidth="1"/>
    <col min="17" max="17" width="17.00390625" style="444" bestFit="1" customWidth="1"/>
    <col min="18" max="16384" width="20.57421875" style="444" customWidth="1"/>
  </cols>
  <sheetData>
    <row r="1" spans="2:16" ht="18">
      <c r="B1" s="490" t="s">
        <v>341</v>
      </c>
      <c r="O1" s="489" t="s">
        <v>366</v>
      </c>
      <c r="P1" s="488" t="s">
        <v>471</v>
      </c>
    </row>
    <row r="3" ht="18">
      <c r="A3" s="472" t="s">
        <v>422</v>
      </c>
    </row>
    <row r="4" spans="1:7" ht="18">
      <c r="A4" s="471"/>
      <c r="G4" s="487"/>
    </row>
    <row r="5" ht="18.75">
      <c r="A5" s="486" t="s">
        <v>399</v>
      </c>
    </row>
    <row r="6" spans="1:17" ht="32.25" customHeight="1">
      <c r="A6" s="463" t="s">
        <v>400</v>
      </c>
      <c r="B6" s="462" t="s">
        <v>342</v>
      </c>
      <c r="C6" s="462" t="s">
        <v>335</v>
      </c>
      <c r="D6" s="468" t="s">
        <v>408</v>
      </c>
      <c r="E6" s="468" t="s">
        <v>409</v>
      </c>
      <c r="F6" s="468" t="s">
        <v>410</v>
      </c>
      <c r="G6" s="468" t="s">
        <v>411</v>
      </c>
      <c r="H6" s="468" t="s">
        <v>412</v>
      </c>
      <c r="I6" s="468" t="s">
        <v>413</v>
      </c>
      <c r="J6" s="468" t="s">
        <v>414</v>
      </c>
      <c r="K6" s="468" t="s">
        <v>415</v>
      </c>
      <c r="L6" s="468" t="s">
        <v>416</v>
      </c>
      <c r="M6" s="468" t="s">
        <v>417</v>
      </c>
      <c r="N6" s="468" t="s">
        <v>418</v>
      </c>
      <c r="O6" s="468" t="s">
        <v>419</v>
      </c>
      <c r="P6" s="463" t="s">
        <v>402</v>
      </c>
      <c r="Q6" s="463" t="s">
        <v>403</v>
      </c>
    </row>
    <row r="7" spans="1:17" ht="33.75" customHeight="1">
      <c r="A7" s="597">
        <v>1</v>
      </c>
      <c r="B7" s="598" t="s">
        <v>333</v>
      </c>
      <c r="C7" s="492" t="s">
        <v>436</v>
      </c>
      <c r="D7" s="493">
        <v>1293.03</v>
      </c>
      <c r="E7" s="493">
        <v>1296.824</v>
      </c>
      <c r="F7" s="493">
        <v>1315.096</v>
      </c>
      <c r="G7" s="493">
        <v>1281.686</v>
      </c>
      <c r="H7" s="494">
        <v>1408.56</v>
      </c>
      <c r="I7" s="493">
        <v>1438.903</v>
      </c>
      <c r="J7" s="493">
        <v>1458.89</v>
      </c>
      <c r="K7" s="493">
        <v>1266.193</v>
      </c>
      <c r="L7" s="493">
        <v>1169.585</v>
      </c>
      <c r="M7" s="493">
        <v>1201.127</v>
      </c>
      <c r="N7" s="493">
        <v>1242.2</v>
      </c>
      <c r="O7" s="493">
        <v>1375.49</v>
      </c>
      <c r="P7" s="495">
        <f aca="true" t="shared" si="0" ref="P7:P26">AVERAGE(D7:O7)</f>
        <v>1312.2986666666668</v>
      </c>
      <c r="Q7" s="496">
        <f aca="true" t="shared" si="1" ref="Q7:Q26">MAX(D7:O7)</f>
        <v>1458.89</v>
      </c>
    </row>
    <row r="8" spans="1:17" ht="47.25" customHeight="1">
      <c r="A8" s="597"/>
      <c r="B8" s="598"/>
      <c r="C8" s="492" t="s">
        <v>437</v>
      </c>
      <c r="D8" s="493">
        <v>1368.872</v>
      </c>
      <c r="E8" s="493">
        <v>1385.894</v>
      </c>
      <c r="F8" s="493">
        <v>1371.76</v>
      </c>
      <c r="G8" s="493">
        <v>1339.977</v>
      </c>
      <c r="H8" s="493">
        <v>1304.339</v>
      </c>
      <c r="I8" s="493">
        <v>1365.488</v>
      </c>
      <c r="J8" s="497"/>
      <c r="K8" s="497"/>
      <c r="L8" s="497"/>
      <c r="M8" s="497"/>
      <c r="N8" s="497"/>
      <c r="O8" s="497"/>
      <c r="P8" s="495">
        <f t="shared" si="0"/>
        <v>1356.055</v>
      </c>
      <c r="Q8" s="496">
        <f t="shared" si="1"/>
        <v>1385.894</v>
      </c>
    </row>
    <row r="9" spans="1:17" ht="54.75" customHeight="1">
      <c r="A9" s="597"/>
      <c r="B9" s="598"/>
      <c r="C9" s="492" t="s">
        <v>438</v>
      </c>
      <c r="D9" s="497"/>
      <c r="E9" s="497"/>
      <c r="F9" s="497"/>
      <c r="G9" s="497"/>
      <c r="H9" s="497"/>
      <c r="I9" s="497"/>
      <c r="J9" s="502">
        <v>1490</v>
      </c>
      <c r="K9" s="502">
        <v>1490</v>
      </c>
      <c r="L9" s="502">
        <v>1490</v>
      </c>
      <c r="M9" s="502">
        <v>1490</v>
      </c>
      <c r="N9" s="502">
        <v>1490</v>
      </c>
      <c r="O9" s="502">
        <v>1490</v>
      </c>
      <c r="P9" s="495">
        <f t="shared" si="0"/>
        <v>1490</v>
      </c>
      <c r="Q9" s="496">
        <f t="shared" si="1"/>
        <v>1490</v>
      </c>
    </row>
    <row r="10" spans="1:17" ht="45" customHeight="1">
      <c r="A10" s="597"/>
      <c r="B10" s="598"/>
      <c r="C10" s="492" t="s">
        <v>439</v>
      </c>
      <c r="D10" s="502">
        <v>1657</v>
      </c>
      <c r="E10" s="502">
        <v>1657</v>
      </c>
      <c r="F10" s="502">
        <v>1657</v>
      </c>
      <c r="G10" s="502">
        <v>1657</v>
      </c>
      <c r="H10" s="502">
        <v>1657</v>
      </c>
      <c r="I10" s="502">
        <v>1657</v>
      </c>
      <c r="J10" s="502">
        <v>1657</v>
      </c>
      <c r="K10" s="502">
        <v>1657</v>
      </c>
      <c r="L10" s="502">
        <v>1657</v>
      </c>
      <c r="M10" s="502">
        <v>1657</v>
      </c>
      <c r="N10" s="502">
        <v>1657</v>
      </c>
      <c r="O10" s="502">
        <v>1657</v>
      </c>
      <c r="P10" s="495">
        <f t="shared" si="0"/>
        <v>1657</v>
      </c>
      <c r="Q10" s="496">
        <f t="shared" si="1"/>
        <v>1657</v>
      </c>
    </row>
    <row r="11" spans="1:17" ht="51" customHeight="1">
      <c r="A11" s="597">
        <v>2</v>
      </c>
      <c r="B11" s="598" t="s">
        <v>377</v>
      </c>
      <c r="C11" s="492" t="s">
        <v>436</v>
      </c>
      <c r="D11" s="502">
        <v>818.872</v>
      </c>
      <c r="E11" s="502">
        <v>816.545</v>
      </c>
      <c r="F11" s="502">
        <v>844.54</v>
      </c>
      <c r="G11" s="502">
        <v>874.57</v>
      </c>
      <c r="H11" s="502">
        <v>863.284</v>
      </c>
      <c r="I11" s="502">
        <v>839.659</v>
      </c>
      <c r="J11" s="502">
        <v>825.875</v>
      </c>
      <c r="K11" s="502">
        <v>816.71</v>
      </c>
      <c r="L11" s="498">
        <v>814.888</v>
      </c>
      <c r="M11" s="502">
        <v>824.34</v>
      </c>
      <c r="N11" s="502">
        <v>813.943</v>
      </c>
      <c r="O11" s="502">
        <v>844.195</v>
      </c>
      <c r="P11" s="495">
        <f t="shared" si="0"/>
        <v>833.1184166666666</v>
      </c>
      <c r="Q11" s="496">
        <f t="shared" si="1"/>
        <v>874.57</v>
      </c>
    </row>
    <row r="12" spans="1:17" ht="48.75" customHeight="1">
      <c r="A12" s="597"/>
      <c r="B12" s="598"/>
      <c r="C12" s="492" t="s">
        <v>437</v>
      </c>
      <c r="D12" s="502">
        <v>857.941</v>
      </c>
      <c r="E12" s="502">
        <v>851.663</v>
      </c>
      <c r="F12" s="502">
        <v>837.762</v>
      </c>
      <c r="G12" s="502">
        <v>854.68</v>
      </c>
      <c r="H12" s="502">
        <v>810.93</v>
      </c>
      <c r="I12" s="502">
        <v>828.25</v>
      </c>
      <c r="J12" s="497"/>
      <c r="K12" s="497"/>
      <c r="L12" s="497"/>
      <c r="M12" s="497"/>
      <c r="N12" s="499"/>
      <c r="O12" s="499"/>
      <c r="P12" s="495">
        <f t="shared" si="0"/>
        <v>840.2043333333332</v>
      </c>
      <c r="Q12" s="496">
        <f t="shared" si="1"/>
        <v>857.941</v>
      </c>
    </row>
    <row r="13" spans="1:17" ht="51" customHeight="1">
      <c r="A13" s="597"/>
      <c r="B13" s="598"/>
      <c r="C13" s="492" t="s">
        <v>438</v>
      </c>
      <c r="D13" s="497"/>
      <c r="E13" s="497"/>
      <c r="F13" s="497"/>
      <c r="G13" s="497"/>
      <c r="H13" s="497"/>
      <c r="I13" s="497"/>
      <c r="J13" s="502">
        <v>870</v>
      </c>
      <c r="K13" s="502">
        <v>870</v>
      </c>
      <c r="L13" s="502">
        <v>870</v>
      </c>
      <c r="M13" s="502">
        <v>870</v>
      </c>
      <c r="N13" s="502">
        <v>870</v>
      </c>
      <c r="O13" s="502">
        <v>870</v>
      </c>
      <c r="P13" s="495">
        <f t="shared" si="0"/>
        <v>870</v>
      </c>
      <c r="Q13" s="496">
        <f t="shared" si="1"/>
        <v>870</v>
      </c>
    </row>
    <row r="14" spans="1:17" ht="48.75" customHeight="1">
      <c r="A14" s="597"/>
      <c r="B14" s="598"/>
      <c r="C14" s="492" t="s">
        <v>439</v>
      </c>
      <c r="D14" s="502">
        <v>940</v>
      </c>
      <c r="E14" s="502">
        <v>940</v>
      </c>
      <c r="F14" s="502">
        <v>940</v>
      </c>
      <c r="G14" s="502">
        <v>940</v>
      </c>
      <c r="H14" s="502">
        <v>940</v>
      </c>
      <c r="I14" s="502">
        <v>940</v>
      </c>
      <c r="J14" s="502">
        <v>940</v>
      </c>
      <c r="K14" s="502">
        <v>940</v>
      </c>
      <c r="L14" s="502">
        <v>940</v>
      </c>
      <c r="M14" s="502">
        <v>940</v>
      </c>
      <c r="N14" s="502">
        <v>940</v>
      </c>
      <c r="O14" s="502">
        <v>940</v>
      </c>
      <c r="P14" s="495">
        <f t="shared" si="0"/>
        <v>940</v>
      </c>
      <c r="Q14" s="496">
        <f t="shared" si="1"/>
        <v>940</v>
      </c>
    </row>
    <row r="15" spans="1:17" ht="57" customHeight="1">
      <c r="A15" s="597">
        <v>3</v>
      </c>
      <c r="B15" s="598" t="s">
        <v>378</v>
      </c>
      <c r="C15" s="492" t="s">
        <v>436</v>
      </c>
      <c r="D15" s="502">
        <v>1068.912</v>
      </c>
      <c r="E15" s="502">
        <v>1025.794</v>
      </c>
      <c r="F15" s="502">
        <v>1020.062</v>
      </c>
      <c r="G15" s="502">
        <v>1049.687</v>
      </c>
      <c r="H15" s="502">
        <v>1070.553</v>
      </c>
      <c r="I15" s="502">
        <v>1091.673</v>
      </c>
      <c r="J15" s="502">
        <v>1058.02</v>
      </c>
      <c r="K15" s="502">
        <v>1025.276</v>
      </c>
      <c r="L15" s="502">
        <v>1020.714</v>
      </c>
      <c r="M15" s="502">
        <v>1046.582</v>
      </c>
      <c r="N15" s="502">
        <v>1049.588</v>
      </c>
      <c r="O15" s="502">
        <v>1144.255</v>
      </c>
      <c r="P15" s="495">
        <f t="shared" si="0"/>
        <v>1055.926333333333</v>
      </c>
      <c r="Q15" s="496">
        <f t="shared" si="1"/>
        <v>1144.255</v>
      </c>
    </row>
    <row r="16" spans="1:17" ht="57" customHeight="1">
      <c r="A16" s="597"/>
      <c r="B16" s="598"/>
      <c r="C16" s="492" t="s">
        <v>437</v>
      </c>
      <c r="D16" s="502">
        <v>1207.014</v>
      </c>
      <c r="E16" s="502">
        <v>1182.698</v>
      </c>
      <c r="F16" s="502">
        <v>1209.353</v>
      </c>
      <c r="G16" s="502">
        <v>1159.358</v>
      </c>
      <c r="H16" s="502">
        <v>1127.824</v>
      </c>
      <c r="I16" s="502">
        <v>1190.725</v>
      </c>
      <c r="J16" s="500"/>
      <c r="K16" s="500"/>
      <c r="L16" s="500"/>
      <c r="M16" s="500"/>
      <c r="N16" s="500"/>
      <c r="O16" s="500"/>
      <c r="P16" s="495">
        <f t="shared" si="0"/>
        <v>1179.4953333333333</v>
      </c>
      <c r="Q16" s="496">
        <f t="shared" si="1"/>
        <v>1209.353</v>
      </c>
    </row>
    <row r="17" spans="1:17" ht="57" customHeight="1">
      <c r="A17" s="597"/>
      <c r="B17" s="598"/>
      <c r="C17" s="492" t="s">
        <v>438</v>
      </c>
      <c r="D17" s="501"/>
      <c r="E17" s="501"/>
      <c r="F17" s="501"/>
      <c r="G17" s="501"/>
      <c r="H17" s="501"/>
      <c r="I17" s="501"/>
      <c r="J17" s="503">
        <v>1100</v>
      </c>
      <c r="K17" s="503">
        <v>1100</v>
      </c>
      <c r="L17" s="503">
        <v>1100</v>
      </c>
      <c r="M17" s="503">
        <v>1100</v>
      </c>
      <c r="N17" s="503">
        <v>1100</v>
      </c>
      <c r="O17" s="503">
        <v>1100</v>
      </c>
      <c r="P17" s="495">
        <f t="shared" si="0"/>
        <v>1100</v>
      </c>
      <c r="Q17" s="496">
        <f t="shared" si="1"/>
        <v>1100</v>
      </c>
    </row>
    <row r="18" spans="1:17" ht="57" customHeight="1">
      <c r="A18" s="597"/>
      <c r="B18" s="598"/>
      <c r="C18" s="492" t="s">
        <v>439</v>
      </c>
      <c r="D18" s="502">
        <v>1250</v>
      </c>
      <c r="E18" s="502">
        <v>1250</v>
      </c>
      <c r="F18" s="502">
        <v>1250</v>
      </c>
      <c r="G18" s="502">
        <v>1250</v>
      </c>
      <c r="H18" s="502">
        <v>1250</v>
      </c>
      <c r="I18" s="502">
        <v>1250</v>
      </c>
      <c r="J18" s="502">
        <v>1250</v>
      </c>
      <c r="K18" s="502">
        <v>1250</v>
      </c>
      <c r="L18" s="502">
        <v>1250</v>
      </c>
      <c r="M18" s="502">
        <v>1250</v>
      </c>
      <c r="N18" s="502">
        <v>1250</v>
      </c>
      <c r="O18" s="502">
        <v>1250</v>
      </c>
      <c r="P18" s="495">
        <f t="shared" si="0"/>
        <v>1250</v>
      </c>
      <c r="Q18" s="496">
        <f t="shared" si="1"/>
        <v>1250</v>
      </c>
    </row>
    <row r="19" spans="1:17" ht="57" customHeight="1">
      <c r="A19" s="597">
        <v>4</v>
      </c>
      <c r="B19" s="598" t="s">
        <v>379</v>
      </c>
      <c r="C19" s="492" t="s">
        <v>436</v>
      </c>
      <c r="D19" s="503">
        <v>501.399</v>
      </c>
      <c r="E19" s="503">
        <v>511.375</v>
      </c>
      <c r="F19" s="503">
        <v>496.939</v>
      </c>
      <c r="G19" s="503">
        <v>502.125</v>
      </c>
      <c r="H19" s="503">
        <v>510.693</v>
      </c>
      <c r="I19" s="503">
        <v>530.696</v>
      </c>
      <c r="J19" s="503">
        <v>485.957</v>
      </c>
      <c r="K19" s="503">
        <v>410.982</v>
      </c>
      <c r="L19" s="503">
        <v>441.297</v>
      </c>
      <c r="M19" s="503">
        <v>484.154</v>
      </c>
      <c r="N19" s="503">
        <v>514.461</v>
      </c>
      <c r="O19" s="503">
        <v>531.662</v>
      </c>
      <c r="P19" s="495">
        <f t="shared" si="0"/>
        <v>493.4783333333334</v>
      </c>
      <c r="Q19" s="496">
        <f t="shared" si="1"/>
        <v>531.662</v>
      </c>
    </row>
    <row r="20" spans="1:17" ht="57" customHeight="1">
      <c r="A20" s="597"/>
      <c r="B20" s="598"/>
      <c r="C20" s="492" t="s">
        <v>437</v>
      </c>
      <c r="D20" s="503">
        <v>533.125</v>
      </c>
      <c r="E20" s="503">
        <v>527.135</v>
      </c>
      <c r="F20" s="503">
        <v>531.965</v>
      </c>
      <c r="G20" s="503">
        <v>530.489</v>
      </c>
      <c r="H20" s="503">
        <v>507.598</v>
      </c>
      <c r="I20" s="503">
        <v>530.46</v>
      </c>
      <c r="J20" s="500"/>
      <c r="K20" s="500"/>
      <c r="L20" s="500"/>
      <c r="M20" s="500"/>
      <c r="N20" s="500"/>
      <c r="O20" s="500"/>
      <c r="P20" s="495">
        <f t="shared" si="0"/>
        <v>526.7953333333334</v>
      </c>
      <c r="Q20" s="496">
        <f t="shared" si="1"/>
        <v>533.125</v>
      </c>
    </row>
    <row r="21" spans="1:17" ht="57" customHeight="1">
      <c r="A21" s="597"/>
      <c r="B21" s="598"/>
      <c r="C21" s="492" t="s">
        <v>438</v>
      </c>
      <c r="D21" s="501"/>
      <c r="E21" s="501"/>
      <c r="F21" s="501"/>
      <c r="G21" s="501"/>
      <c r="H21" s="501"/>
      <c r="I21" s="501"/>
      <c r="J21" s="503">
        <v>560</v>
      </c>
      <c r="K21" s="503">
        <v>560</v>
      </c>
      <c r="L21" s="503">
        <v>560</v>
      </c>
      <c r="M21" s="503">
        <v>560</v>
      </c>
      <c r="N21" s="503">
        <v>560</v>
      </c>
      <c r="O21" s="503">
        <v>560</v>
      </c>
      <c r="P21" s="495">
        <f t="shared" si="0"/>
        <v>560</v>
      </c>
      <c r="Q21" s="496">
        <f t="shared" si="1"/>
        <v>560</v>
      </c>
    </row>
    <row r="22" spans="1:17" ht="57" customHeight="1">
      <c r="A22" s="597"/>
      <c r="B22" s="598"/>
      <c r="C22" s="492" t="s">
        <v>439</v>
      </c>
      <c r="D22" s="502">
        <v>600</v>
      </c>
      <c r="E22" s="502">
        <v>600</v>
      </c>
      <c r="F22" s="502">
        <v>600</v>
      </c>
      <c r="G22" s="502">
        <v>600</v>
      </c>
      <c r="H22" s="502">
        <v>600</v>
      </c>
      <c r="I22" s="502">
        <v>600</v>
      </c>
      <c r="J22" s="502">
        <v>600</v>
      </c>
      <c r="K22" s="502">
        <v>600</v>
      </c>
      <c r="L22" s="502">
        <v>600</v>
      </c>
      <c r="M22" s="502">
        <v>600</v>
      </c>
      <c r="N22" s="502">
        <v>600</v>
      </c>
      <c r="O22" s="502">
        <v>600</v>
      </c>
      <c r="P22" s="495">
        <f t="shared" si="0"/>
        <v>600</v>
      </c>
      <c r="Q22" s="496">
        <f t="shared" si="1"/>
        <v>600</v>
      </c>
    </row>
    <row r="23" spans="1:17" ht="57" customHeight="1">
      <c r="A23" s="597">
        <v>5</v>
      </c>
      <c r="B23" s="598" t="s">
        <v>334</v>
      </c>
      <c r="C23" s="492" t="s">
        <v>436</v>
      </c>
      <c r="D23" s="497">
        <f>D7+D11+D15+D19</f>
        <v>3682.213</v>
      </c>
      <c r="E23" s="497">
        <f aca="true" t="shared" si="2" ref="E23:O23">E7+E11+E15+E19</f>
        <v>3650.5380000000005</v>
      </c>
      <c r="F23" s="497">
        <f t="shared" si="2"/>
        <v>3676.6369999999997</v>
      </c>
      <c r="G23" s="497">
        <f t="shared" si="2"/>
        <v>3708.0679999999998</v>
      </c>
      <c r="H23" s="497">
        <f t="shared" si="2"/>
        <v>3853.09</v>
      </c>
      <c r="I23" s="497">
        <f t="shared" si="2"/>
        <v>3900.9309999999996</v>
      </c>
      <c r="J23" s="497">
        <f t="shared" si="2"/>
        <v>3828.742</v>
      </c>
      <c r="K23" s="497">
        <f t="shared" si="2"/>
        <v>3519.161</v>
      </c>
      <c r="L23" s="497">
        <f t="shared" si="2"/>
        <v>3446.484</v>
      </c>
      <c r="M23" s="497">
        <f t="shared" si="2"/>
        <v>3556.203</v>
      </c>
      <c r="N23" s="497">
        <f t="shared" si="2"/>
        <v>3620.192</v>
      </c>
      <c r="O23" s="497">
        <f t="shared" si="2"/>
        <v>3895.602</v>
      </c>
      <c r="P23" s="495">
        <f t="shared" si="0"/>
        <v>3694.8217499999996</v>
      </c>
      <c r="Q23" s="496">
        <f t="shared" si="1"/>
        <v>3900.9309999999996</v>
      </c>
    </row>
    <row r="24" spans="1:17" ht="57" customHeight="1">
      <c r="A24" s="597"/>
      <c r="B24" s="598"/>
      <c r="C24" s="492" t="s">
        <v>437</v>
      </c>
      <c r="D24" s="497">
        <f aca="true" t="shared" si="3" ref="D24:N24">D8+D12+D16+D20</f>
        <v>3966.952</v>
      </c>
      <c r="E24" s="497">
        <f t="shared" si="3"/>
        <v>3947.3900000000003</v>
      </c>
      <c r="F24" s="497">
        <f t="shared" si="3"/>
        <v>3950.84</v>
      </c>
      <c r="G24" s="497">
        <f t="shared" si="3"/>
        <v>3884.5040000000004</v>
      </c>
      <c r="H24" s="497">
        <f t="shared" si="3"/>
        <v>3750.691</v>
      </c>
      <c r="I24" s="497">
        <f t="shared" si="3"/>
        <v>3914.9230000000002</v>
      </c>
      <c r="J24" s="497">
        <f t="shared" si="3"/>
        <v>0</v>
      </c>
      <c r="K24" s="497">
        <f t="shared" si="3"/>
        <v>0</v>
      </c>
      <c r="L24" s="497">
        <f t="shared" si="3"/>
        <v>0</v>
      </c>
      <c r="M24" s="497">
        <f t="shared" si="3"/>
        <v>0</v>
      </c>
      <c r="N24" s="497">
        <f t="shared" si="3"/>
        <v>0</v>
      </c>
      <c r="O24" s="497">
        <f>O8+O12+O16+O20</f>
        <v>0</v>
      </c>
      <c r="P24" s="495">
        <f t="shared" si="0"/>
        <v>1951.2749999999999</v>
      </c>
      <c r="Q24" s="496">
        <f t="shared" si="1"/>
        <v>3966.952</v>
      </c>
    </row>
    <row r="25" spans="1:17" ht="57" customHeight="1">
      <c r="A25" s="597"/>
      <c r="B25" s="598"/>
      <c r="C25" s="492" t="s">
        <v>438</v>
      </c>
      <c r="D25" s="497">
        <f aca="true" t="shared" si="4" ref="D25:N25">D9+D13+D17+D21</f>
        <v>0</v>
      </c>
      <c r="E25" s="497">
        <f t="shared" si="4"/>
        <v>0</v>
      </c>
      <c r="F25" s="497">
        <f t="shared" si="4"/>
        <v>0</v>
      </c>
      <c r="G25" s="497">
        <f t="shared" si="4"/>
        <v>0</v>
      </c>
      <c r="H25" s="497">
        <f t="shared" si="4"/>
        <v>0</v>
      </c>
      <c r="I25" s="497">
        <f t="shared" si="4"/>
        <v>0</v>
      </c>
      <c r="J25" s="497">
        <f t="shared" si="4"/>
        <v>4020</v>
      </c>
      <c r="K25" s="497">
        <f t="shared" si="4"/>
        <v>4020</v>
      </c>
      <c r="L25" s="497">
        <f t="shared" si="4"/>
        <v>4020</v>
      </c>
      <c r="M25" s="497">
        <f t="shared" si="4"/>
        <v>4020</v>
      </c>
      <c r="N25" s="497">
        <f t="shared" si="4"/>
        <v>4020</v>
      </c>
      <c r="O25" s="497">
        <f>O9+O13+O17+O21</f>
        <v>4020</v>
      </c>
      <c r="P25" s="495">
        <f t="shared" si="0"/>
        <v>2010</v>
      </c>
      <c r="Q25" s="496">
        <f t="shared" si="1"/>
        <v>4020</v>
      </c>
    </row>
    <row r="26" spans="1:17" ht="57" customHeight="1">
      <c r="A26" s="597"/>
      <c r="B26" s="598"/>
      <c r="C26" s="492" t="s">
        <v>439</v>
      </c>
      <c r="D26" s="497">
        <f aca="true" t="shared" si="5" ref="D26:N26">D10+D14+D18+D22</f>
        <v>4447</v>
      </c>
      <c r="E26" s="497">
        <f t="shared" si="5"/>
        <v>4447</v>
      </c>
      <c r="F26" s="497">
        <f t="shared" si="5"/>
        <v>4447</v>
      </c>
      <c r="G26" s="497">
        <f t="shared" si="5"/>
        <v>4447</v>
      </c>
      <c r="H26" s="497">
        <f t="shared" si="5"/>
        <v>4447</v>
      </c>
      <c r="I26" s="497">
        <f t="shared" si="5"/>
        <v>4447</v>
      </c>
      <c r="J26" s="497">
        <f t="shared" si="5"/>
        <v>4447</v>
      </c>
      <c r="K26" s="497">
        <f t="shared" si="5"/>
        <v>4447</v>
      </c>
      <c r="L26" s="497">
        <f t="shared" si="5"/>
        <v>4447</v>
      </c>
      <c r="M26" s="497">
        <f t="shared" si="5"/>
        <v>4447</v>
      </c>
      <c r="N26" s="497">
        <f t="shared" si="5"/>
        <v>4447</v>
      </c>
      <c r="O26" s="497">
        <f>O10+O14+O18+O22</f>
        <v>4447</v>
      </c>
      <c r="P26" s="495">
        <f t="shared" si="0"/>
        <v>4447</v>
      </c>
      <c r="Q26" s="496">
        <f t="shared" si="1"/>
        <v>4447</v>
      </c>
    </row>
    <row r="27" spans="1:23" ht="18">
      <c r="A27" s="445"/>
      <c r="B27" s="445"/>
      <c r="C27" s="477"/>
      <c r="D27" s="445"/>
      <c r="E27" s="445"/>
      <c r="F27" s="445"/>
      <c r="G27" s="445"/>
      <c r="H27" s="445"/>
      <c r="I27" s="445"/>
      <c r="J27" s="445"/>
      <c r="K27" s="445"/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45"/>
    </row>
    <row r="28" spans="1:23" ht="18">
      <c r="A28" s="445"/>
      <c r="B28" s="448"/>
      <c r="C28" s="477"/>
      <c r="D28" s="445"/>
      <c r="E28" s="445"/>
      <c r="F28" s="445"/>
      <c r="G28" s="445"/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5"/>
      <c r="S28" s="445"/>
      <c r="T28" s="445"/>
      <c r="U28" s="445"/>
      <c r="V28" s="445"/>
      <c r="W28" s="445"/>
    </row>
    <row r="29" spans="1:23" ht="18">
      <c r="A29" s="445"/>
      <c r="B29" s="445"/>
      <c r="C29" s="477"/>
      <c r="D29" s="485"/>
      <c r="E29" s="485"/>
      <c r="F29" s="485"/>
      <c r="G29" s="485"/>
      <c r="H29" s="485"/>
      <c r="I29" s="485"/>
      <c r="J29" s="485"/>
      <c r="K29" s="485"/>
      <c r="L29" s="485"/>
      <c r="M29" s="485"/>
      <c r="N29" s="485"/>
      <c r="O29" s="485"/>
      <c r="P29" s="485"/>
      <c r="Q29" s="445"/>
      <c r="R29" s="445"/>
      <c r="S29" s="445"/>
      <c r="T29" s="445"/>
      <c r="U29" s="445"/>
      <c r="V29" s="445"/>
      <c r="W29" s="445"/>
    </row>
    <row r="30" spans="1:23" ht="18">
      <c r="A30" s="445"/>
      <c r="B30" s="445"/>
      <c r="C30" s="477"/>
      <c r="D30" s="445"/>
      <c r="E30" s="445"/>
      <c r="F30" s="445"/>
      <c r="G30" s="445"/>
      <c r="H30" s="445"/>
      <c r="I30" s="445"/>
      <c r="J30" s="445"/>
      <c r="K30" s="445"/>
      <c r="L30" s="445"/>
      <c r="M30" s="445"/>
      <c r="N30" s="445"/>
      <c r="O30" s="445"/>
      <c r="P30" s="445"/>
      <c r="Q30" s="445"/>
      <c r="R30" s="445"/>
      <c r="S30" s="445"/>
      <c r="T30" s="445"/>
      <c r="U30" s="445"/>
      <c r="V30" s="445"/>
      <c r="W30" s="445"/>
    </row>
    <row r="31" spans="1:23" ht="18">
      <c r="A31" s="445"/>
      <c r="B31" s="445"/>
      <c r="C31" s="477"/>
      <c r="D31" s="482"/>
      <c r="E31" s="482"/>
      <c r="F31" s="482"/>
      <c r="G31" s="482"/>
      <c r="H31" s="482"/>
      <c r="I31" s="482"/>
      <c r="J31" s="482"/>
      <c r="K31" s="482"/>
      <c r="L31" s="482"/>
      <c r="M31" s="482"/>
      <c r="N31" s="482"/>
      <c r="O31" s="482"/>
      <c r="P31" s="482"/>
      <c r="Q31" s="445"/>
      <c r="R31" s="445"/>
      <c r="S31" s="445"/>
      <c r="T31" s="445"/>
      <c r="U31" s="445"/>
      <c r="V31" s="445"/>
      <c r="W31" s="445"/>
    </row>
    <row r="32" spans="1:23" ht="18">
      <c r="A32" s="445"/>
      <c r="B32" s="445"/>
      <c r="C32" s="477"/>
      <c r="D32" s="482"/>
      <c r="E32" s="482"/>
      <c r="F32" s="482"/>
      <c r="G32" s="482"/>
      <c r="H32" s="482"/>
      <c r="I32" s="482"/>
      <c r="J32" s="482"/>
      <c r="K32" s="482"/>
      <c r="L32" s="482"/>
      <c r="M32" s="482"/>
      <c r="N32" s="482"/>
      <c r="O32" s="482"/>
      <c r="P32" s="482"/>
      <c r="Q32" s="445"/>
      <c r="R32" s="445"/>
      <c r="S32" s="445"/>
      <c r="T32" s="445"/>
      <c r="U32" s="445"/>
      <c r="V32" s="445"/>
      <c r="W32" s="445"/>
    </row>
    <row r="33" spans="1:23" ht="18">
      <c r="A33" s="445"/>
      <c r="B33" s="445"/>
      <c r="C33" s="477"/>
      <c r="D33" s="482"/>
      <c r="E33" s="482"/>
      <c r="F33" s="482"/>
      <c r="G33" s="482"/>
      <c r="H33" s="482"/>
      <c r="I33" s="482"/>
      <c r="J33" s="482"/>
      <c r="K33" s="482"/>
      <c r="L33" s="482"/>
      <c r="M33" s="482"/>
      <c r="N33" s="482"/>
      <c r="O33" s="482"/>
      <c r="P33" s="482"/>
      <c r="Q33" s="445"/>
      <c r="R33" s="445"/>
      <c r="S33" s="445"/>
      <c r="T33" s="445"/>
      <c r="U33" s="445"/>
      <c r="V33" s="445"/>
      <c r="W33" s="445"/>
    </row>
    <row r="34" spans="1:23" ht="18">
      <c r="A34" s="445"/>
      <c r="B34" s="445"/>
      <c r="C34" s="477"/>
      <c r="D34" s="482"/>
      <c r="E34" s="482"/>
      <c r="F34" s="482"/>
      <c r="G34" s="482"/>
      <c r="H34" s="482"/>
      <c r="I34" s="482"/>
      <c r="J34" s="482"/>
      <c r="K34" s="482"/>
      <c r="L34" s="482"/>
      <c r="M34" s="482"/>
      <c r="N34" s="482"/>
      <c r="O34" s="482"/>
      <c r="P34" s="482"/>
      <c r="Q34" s="445"/>
      <c r="R34" s="445"/>
      <c r="S34" s="445"/>
      <c r="T34" s="445"/>
      <c r="U34" s="445"/>
      <c r="V34" s="445"/>
      <c r="W34" s="445"/>
    </row>
    <row r="35" spans="1:23" ht="18">
      <c r="A35" s="445"/>
      <c r="B35" s="448"/>
      <c r="C35" s="481"/>
      <c r="D35" s="484"/>
      <c r="E35" s="484"/>
      <c r="F35" s="484"/>
      <c r="G35" s="484"/>
      <c r="H35" s="484"/>
      <c r="I35" s="484"/>
      <c r="J35" s="484"/>
      <c r="K35" s="484"/>
      <c r="L35" s="484"/>
      <c r="M35" s="484"/>
      <c r="N35" s="484"/>
      <c r="O35" s="484"/>
      <c r="P35" s="484"/>
      <c r="Q35" s="445"/>
      <c r="R35" s="445"/>
      <c r="S35" s="445"/>
      <c r="T35" s="445"/>
      <c r="U35" s="445"/>
      <c r="V35" s="445"/>
      <c r="W35" s="445"/>
    </row>
    <row r="36" spans="1:23" ht="18">
      <c r="A36" s="445"/>
      <c r="B36" s="445"/>
      <c r="C36" s="477"/>
      <c r="D36" s="445"/>
      <c r="E36" s="445"/>
      <c r="F36" s="445"/>
      <c r="G36" s="445"/>
      <c r="H36" s="445"/>
      <c r="I36" s="445"/>
      <c r="J36" s="445"/>
      <c r="K36" s="445"/>
      <c r="L36" s="445"/>
      <c r="M36" s="479"/>
      <c r="N36" s="445"/>
      <c r="O36" s="445"/>
      <c r="P36" s="445"/>
      <c r="Q36" s="445"/>
      <c r="R36" s="445"/>
      <c r="S36" s="445"/>
      <c r="T36" s="445"/>
      <c r="U36" s="445"/>
      <c r="V36" s="445"/>
      <c r="W36" s="445"/>
    </row>
    <row r="37" spans="1:23" ht="18">
      <c r="A37" s="445"/>
      <c r="B37" s="448"/>
      <c r="C37" s="477"/>
      <c r="D37" s="445"/>
      <c r="E37" s="445"/>
      <c r="F37" s="445"/>
      <c r="G37" s="445"/>
      <c r="H37" s="445"/>
      <c r="I37" s="445"/>
      <c r="J37" s="445"/>
      <c r="K37" s="445"/>
      <c r="L37" s="445"/>
      <c r="M37" s="479"/>
      <c r="N37" s="445"/>
      <c r="O37" s="445"/>
      <c r="P37" s="445"/>
      <c r="Q37" s="445"/>
      <c r="R37" s="445"/>
      <c r="S37" s="445"/>
      <c r="T37" s="445"/>
      <c r="U37" s="445"/>
      <c r="V37" s="445"/>
      <c r="W37" s="445"/>
    </row>
    <row r="38" spans="1:23" ht="18">
      <c r="A38" s="445"/>
      <c r="B38" s="445"/>
      <c r="C38" s="477"/>
      <c r="D38" s="445"/>
      <c r="E38" s="485"/>
      <c r="F38" s="485"/>
      <c r="G38" s="485"/>
      <c r="H38" s="485"/>
      <c r="I38" s="485"/>
      <c r="J38" s="485"/>
      <c r="K38" s="485"/>
      <c r="L38" s="485"/>
      <c r="M38" s="485"/>
      <c r="N38" s="485"/>
      <c r="O38" s="485"/>
      <c r="P38" s="485"/>
      <c r="Q38" s="448"/>
      <c r="R38" s="448"/>
      <c r="S38" s="445"/>
      <c r="T38" s="445"/>
      <c r="U38" s="445"/>
      <c r="V38" s="445"/>
      <c r="W38" s="445"/>
    </row>
    <row r="39" spans="1:23" ht="18" hidden="1">
      <c r="A39" s="445"/>
      <c r="B39" s="448"/>
      <c r="C39" s="477"/>
      <c r="D39" s="445"/>
      <c r="E39" s="445"/>
      <c r="F39" s="445"/>
      <c r="G39" s="445"/>
      <c r="H39" s="445"/>
      <c r="I39" s="445"/>
      <c r="J39" s="445"/>
      <c r="K39" s="445"/>
      <c r="L39" s="445"/>
      <c r="M39" s="445"/>
      <c r="N39" s="445"/>
      <c r="O39" s="445"/>
      <c r="P39" s="445"/>
      <c r="Q39" s="482"/>
      <c r="R39" s="482"/>
      <c r="S39" s="445"/>
      <c r="T39" s="445"/>
      <c r="U39" s="445"/>
      <c r="V39" s="445"/>
      <c r="W39" s="445"/>
    </row>
    <row r="40" spans="1:23" ht="18" hidden="1">
      <c r="A40" s="445"/>
      <c r="B40" s="445"/>
      <c r="C40" s="477"/>
      <c r="D40" s="482"/>
      <c r="E40" s="482"/>
      <c r="F40" s="482"/>
      <c r="G40" s="482"/>
      <c r="H40" s="482"/>
      <c r="I40" s="482"/>
      <c r="J40" s="482"/>
      <c r="K40" s="482"/>
      <c r="L40" s="482"/>
      <c r="M40" s="482"/>
      <c r="N40" s="482"/>
      <c r="O40" s="482"/>
      <c r="P40" s="482"/>
      <c r="Q40" s="482"/>
      <c r="R40" s="482"/>
      <c r="S40" s="445"/>
      <c r="T40" s="445"/>
      <c r="U40" s="445"/>
      <c r="V40" s="445"/>
      <c r="W40" s="445"/>
    </row>
    <row r="41" spans="1:23" ht="18" hidden="1">
      <c r="A41" s="445"/>
      <c r="B41" s="445"/>
      <c r="C41" s="477"/>
      <c r="D41" s="482"/>
      <c r="E41" s="482"/>
      <c r="F41" s="482"/>
      <c r="G41" s="482"/>
      <c r="H41" s="482"/>
      <c r="I41" s="482"/>
      <c r="J41" s="482"/>
      <c r="K41" s="482"/>
      <c r="L41" s="482"/>
      <c r="M41" s="482"/>
      <c r="N41" s="482"/>
      <c r="O41" s="482"/>
      <c r="P41" s="482"/>
      <c r="Q41" s="482"/>
      <c r="R41" s="482"/>
      <c r="S41" s="445"/>
      <c r="T41" s="445"/>
      <c r="U41" s="445"/>
      <c r="V41" s="445"/>
      <c r="W41" s="445"/>
    </row>
    <row r="42" spans="1:23" ht="18" hidden="1">
      <c r="A42" s="445"/>
      <c r="B42" s="445"/>
      <c r="C42" s="477"/>
      <c r="D42" s="482"/>
      <c r="E42" s="482"/>
      <c r="F42" s="482"/>
      <c r="G42" s="482"/>
      <c r="H42" s="482"/>
      <c r="I42" s="482"/>
      <c r="J42" s="482"/>
      <c r="K42" s="482"/>
      <c r="L42" s="482"/>
      <c r="M42" s="482"/>
      <c r="N42" s="482"/>
      <c r="O42" s="482"/>
      <c r="P42" s="482"/>
      <c r="Q42" s="482"/>
      <c r="R42" s="482"/>
      <c r="S42" s="445"/>
      <c r="T42" s="445"/>
      <c r="U42" s="445"/>
      <c r="V42" s="445"/>
      <c r="W42" s="445"/>
    </row>
    <row r="43" spans="1:23" ht="18" hidden="1">
      <c r="A43" s="445"/>
      <c r="B43" s="445"/>
      <c r="C43" s="477"/>
      <c r="D43" s="482"/>
      <c r="E43" s="482"/>
      <c r="F43" s="482"/>
      <c r="G43" s="482"/>
      <c r="H43" s="482"/>
      <c r="I43" s="482"/>
      <c r="J43" s="482"/>
      <c r="K43" s="482"/>
      <c r="L43" s="482"/>
      <c r="M43" s="482"/>
      <c r="N43" s="482"/>
      <c r="O43" s="482"/>
      <c r="P43" s="482"/>
      <c r="Q43" s="480"/>
      <c r="R43" s="480"/>
      <c r="S43" s="445"/>
      <c r="T43" s="445"/>
      <c r="U43" s="445"/>
      <c r="V43" s="445"/>
      <c r="W43" s="445"/>
    </row>
    <row r="44" spans="1:23" ht="18" hidden="1">
      <c r="A44" s="445"/>
      <c r="B44" s="448"/>
      <c r="C44" s="481"/>
      <c r="D44" s="484"/>
      <c r="E44" s="484"/>
      <c r="F44" s="484"/>
      <c r="G44" s="484"/>
      <c r="H44" s="484"/>
      <c r="I44" s="484"/>
      <c r="J44" s="484"/>
      <c r="K44" s="484"/>
      <c r="L44" s="484"/>
      <c r="M44" s="484"/>
      <c r="N44" s="484"/>
      <c r="O44" s="484"/>
      <c r="P44" s="484"/>
      <c r="Q44" s="445"/>
      <c r="R44" s="445"/>
      <c r="S44" s="445"/>
      <c r="T44" s="445"/>
      <c r="U44" s="445"/>
      <c r="V44" s="445"/>
      <c r="W44" s="445"/>
    </row>
    <row r="45" spans="1:23" ht="18">
      <c r="A45" s="445"/>
      <c r="B45" s="450"/>
      <c r="C45" s="477"/>
      <c r="D45" s="445"/>
      <c r="E45" s="478"/>
      <c r="F45" s="478"/>
      <c r="G45" s="478"/>
      <c r="H45" s="478"/>
      <c r="I45" s="478"/>
      <c r="J45" s="478"/>
      <c r="K45" s="478"/>
      <c r="L45" s="478"/>
      <c r="M45" s="478"/>
      <c r="N45" s="478"/>
      <c r="O45" s="478"/>
      <c r="P45" s="478"/>
      <c r="Q45" s="482"/>
      <c r="R45" s="482"/>
      <c r="S45" s="445"/>
      <c r="T45" s="445"/>
      <c r="U45" s="445"/>
      <c r="V45" s="445"/>
      <c r="W45" s="445"/>
    </row>
    <row r="46" spans="1:23" ht="18">
      <c r="A46" s="445"/>
      <c r="B46" s="445"/>
      <c r="C46" s="477"/>
      <c r="D46" s="445"/>
      <c r="E46" s="478"/>
      <c r="F46" s="478"/>
      <c r="G46" s="478"/>
      <c r="H46" s="478"/>
      <c r="I46" s="478"/>
      <c r="J46" s="478"/>
      <c r="K46" s="478"/>
      <c r="L46" s="478"/>
      <c r="M46" s="478"/>
      <c r="N46" s="478"/>
      <c r="O46" s="478"/>
      <c r="P46" s="478"/>
      <c r="Q46" s="482"/>
      <c r="R46" s="482"/>
      <c r="S46" s="445"/>
      <c r="T46" s="445"/>
      <c r="U46" s="445"/>
      <c r="V46" s="445"/>
      <c r="W46" s="445"/>
    </row>
    <row r="47" spans="1:23" ht="18">
      <c r="A47" s="445"/>
      <c r="B47" s="445"/>
      <c r="C47" s="477"/>
      <c r="D47" s="445"/>
      <c r="E47" s="478"/>
      <c r="F47" s="478"/>
      <c r="G47" s="478"/>
      <c r="H47" s="478"/>
      <c r="I47" s="478"/>
      <c r="J47" s="478"/>
      <c r="K47" s="478"/>
      <c r="L47" s="478"/>
      <c r="M47" s="478"/>
      <c r="N47" s="478"/>
      <c r="O47" s="478"/>
      <c r="P47" s="478"/>
      <c r="Q47" s="482"/>
      <c r="R47" s="482"/>
      <c r="S47" s="445"/>
      <c r="T47" s="445"/>
      <c r="U47" s="445"/>
      <c r="V47" s="445"/>
      <c r="W47" s="445"/>
    </row>
    <row r="48" spans="1:23" ht="18">
      <c r="A48" s="445"/>
      <c r="B48" s="445"/>
      <c r="C48" s="477"/>
      <c r="D48" s="445"/>
      <c r="E48" s="478"/>
      <c r="F48" s="478"/>
      <c r="G48" s="478"/>
      <c r="H48" s="478"/>
      <c r="I48" s="478"/>
      <c r="J48" s="478"/>
      <c r="K48" s="478"/>
      <c r="L48" s="478"/>
      <c r="M48" s="478"/>
      <c r="N48" s="478"/>
      <c r="O48" s="478"/>
      <c r="P48" s="478"/>
      <c r="Q48" s="482"/>
      <c r="R48" s="482"/>
      <c r="S48" s="445"/>
      <c r="T48" s="445"/>
      <c r="U48" s="445"/>
      <c r="V48" s="445"/>
      <c r="W48" s="445"/>
    </row>
    <row r="49" spans="1:23" ht="18">
      <c r="A49" s="445"/>
      <c r="B49" s="445"/>
      <c r="C49" s="477"/>
      <c r="D49" s="478"/>
      <c r="E49" s="478"/>
      <c r="F49" s="478"/>
      <c r="G49" s="478"/>
      <c r="H49" s="478"/>
      <c r="I49" s="478"/>
      <c r="J49" s="478"/>
      <c r="K49" s="478"/>
      <c r="L49" s="478"/>
      <c r="M49" s="478"/>
      <c r="N49" s="478"/>
      <c r="O49" s="478"/>
      <c r="P49" s="445"/>
      <c r="Q49" s="480"/>
      <c r="R49" s="480"/>
      <c r="S49" s="445"/>
      <c r="T49" s="445"/>
      <c r="U49" s="445"/>
      <c r="V49" s="445"/>
      <c r="W49" s="445"/>
    </row>
    <row r="50" spans="1:23" ht="18">
      <c r="A50" s="445"/>
      <c r="B50" s="445"/>
      <c r="C50" s="477"/>
      <c r="D50" s="478"/>
      <c r="E50" s="478"/>
      <c r="F50" s="478"/>
      <c r="G50" s="478"/>
      <c r="H50" s="478"/>
      <c r="I50" s="478"/>
      <c r="J50" s="478"/>
      <c r="K50" s="478"/>
      <c r="L50" s="478"/>
      <c r="M50" s="478"/>
      <c r="N50" s="478"/>
      <c r="O50" s="478"/>
      <c r="P50" s="445"/>
      <c r="Q50" s="445"/>
      <c r="R50" s="445"/>
      <c r="S50" s="445"/>
      <c r="T50" s="445"/>
      <c r="U50" s="445"/>
      <c r="V50" s="445"/>
      <c r="W50" s="445"/>
    </row>
    <row r="51" spans="1:23" ht="18" hidden="1">
      <c r="A51" s="445"/>
      <c r="B51" s="448"/>
      <c r="C51" s="477"/>
      <c r="D51" s="445"/>
      <c r="E51" s="445"/>
      <c r="F51" s="445"/>
      <c r="G51" s="445"/>
      <c r="H51" s="445"/>
      <c r="I51" s="445"/>
      <c r="J51" s="445"/>
      <c r="K51" s="445"/>
      <c r="L51" s="445"/>
      <c r="M51" s="445"/>
      <c r="N51" s="445"/>
      <c r="O51" s="445"/>
      <c r="P51" s="445"/>
      <c r="Q51" s="445"/>
      <c r="R51" s="445"/>
      <c r="S51" s="445"/>
      <c r="T51" s="445"/>
      <c r="U51" s="445"/>
      <c r="V51" s="445"/>
      <c r="W51" s="445"/>
    </row>
    <row r="52" spans="1:23" ht="18" hidden="1">
      <c r="A52" s="445"/>
      <c r="B52" s="445"/>
      <c r="C52" s="477"/>
      <c r="D52" s="445"/>
      <c r="E52" s="445"/>
      <c r="F52" s="445"/>
      <c r="G52" s="445"/>
      <c r="H52" s="445"/>
      <c r="I52" s="445"/>
      <c r="J52" s="445"/>
      <c r="K52" s="445"/>
      <c r="L52" s="445"/>
      <c r="M52" s="445"/>
      <c r="N52" s="445"/>
      <c r="O52" s="445"/>
      <c r="P52" s="445"/>
      <c r="Q52" s="445"/>
      <c r="R52" s="445"/>
      <c r="S52" s="445"/>
      <c r="T52" s="445"/>
      <c r="U52" s="445"/>
      <c r="V52" s="445"/>
      <c r="W52" s="445"/>
    </row>
    <row r="53" spans="1:23" ht="18" hidden="1">
      <c r="A53" s="445"/>
      <c r="B53" s="448"/>
      <c r="C53" s="481"/>
      <c r="D53" s="450"/>
      <c r="E53" s="483"/>
      <c r="F53" s="483"/>
      <c r="G53" s="483"/>
      <c r="H53" s="483"/>
      <c r="I53" s="483"/>
      <c r="J53" s="483"/>
      <c r="K53" s="483"/>
      <c r="L53" s="483"/>
      <c r="M53" s="483"/>
      <c r="N53" s="483"/>
      <c r="O53" s="483"/>
      <c r="P53" s="483"/>
      <c r="Q53" s="448"/>
      <c r="R53" s="445"/>
      <c r="S53" s="445"/>
      <c r="T53" s="445"/>
      <c r="U53" s="445"/>
      <c r="V53" s="445"/>
      <c r="W53" s="445"/>
    </row>
    <row r="54" spans="1:23" ht="18" hidden="1">
      <c r="A54" s="445"/>
      <c r="B54" s="445"/>
      <c r="C54" s="477"/>
      <c r="D54" s="445"/>
      <c r="E54" s="482"/>
      <c r="F54" s="482"/>
      <c r="G54" s="482"/>
      <c r="H54" s="482"/>
      <c r="I54" s="482"/>
      <c r="J54" s="482"/>
      <c r="K54" s="482"/>
      <c r="L54" s="482"/>
      <c r="M54" s="482"/>
      <c r="N54" s="482"/>
      <c r="O54" s="482"/>
      <c r="P54" s="482"/>
      <c r="Q54" s="482"/>
      <c r="R54" s="445"/>
      <c r="S54" s="445"/>
      <c r="T54" s="445"/>
      <c r="U54" s="445"/>
      <c r="V54" s="445"/>
      <c r="W54" s="445"/>
    </row>
    <row r="55" spans="1:23" ht="18" hidden="1">
      <c r="A55" s="445"/>
      <c r="B55" s="445"/>
      <c r="C55" s="477"/>
      <c r="D55" s="445"/>
      <c r="E55" s="482"/>
      <c r="F55" s="482"/>
      <c r="G55" s="482"/>
      <c r="H55" s="482"/>
      <c r="I55" s="482"/>
      <c r="J55" s="482"/>
      <c r="K55" s="482"/>
      <c r="L55" s="482"/>
      <c r="M55" s="482"/>
      <c r="N55" s="482"/>
      <c r="O55" s="482"/>
      <c r="P55" s="482"/>
      <c r="Q55" s="482"/>
      <c r="R55" s="445"/>
      <c r="S55" s="445"/>
      <c r="T55" s="445"/>
      <c r="U55" s="445"/>
      <c r="V55" s="445"/>
      <c r="W55" s="445"/>
    </row>
    <row r="56" spans="1:23" ht="18" hidden="1">
      <c r="A56" s="445"/>
      <c r="B56" s="445"/>
      <c r="C56" s="477"/>
      <c r="D56" s="445"/>
      <c r="E56" s="482"/>
      <c r="F56" s="482"/>
      <c r="G56" s="482"/>
      <c r="H56" s="482"/>
      <c r="I56" s="482"/>
      <c r="J56" s="482"/>
      <c r="K56" s="482"/>
      <c r="L56" s="482"/>
      <c r="M56" s="482"/>
      <c r="N56" s="482"/>
      <c r="O56" s="482"/>
      <c r="P56" s="482"/>
      <c r="Q56" s="482"/>
      <c r="R56" s="445"/>
      <c r="S56" s="445"/>
      <c r="T56" s="445"/>
      <c r="U56" s="445"/>
      <c r="V56" s="445"/>
      <c r="W56" s="445"/>
    </row>
    <row r="57" spans="1:23" ht="18" hidden="1">
      <c r="A57" s="445"/>
      <c r="B57" s="445"/>
      <c r="C57" s="477"/>
      <c r="D57" s="445"/>
      <c r="E57" s="482"/>
      <c r="F57" s="482"/>
      <c r="G57" s="482"/>
      <c r="H57" s="482"/>
      <c r="I57" s="482"/>
      <c r="J57" s="482"/>
      <c r="K57" s="482"/>
      <c r="L57" s="482"/>
      <c r="M57" s="482"/>
      <c r="N57" s="482"/>
      <c r="O57" s="482"/>
      <c r="P57" s="482"/>
      <c r="Q57" s="482"/>
      <c r="R57" s="445"/>
      <c r="S57" s="445"/>
      <c r="T57" s="445"/>
      <c r="U57" s="445"/>
      <c r="V57" s="445"/>
      <c r="W57" s="445"/>
    </row>
    <row r="58" spans="1:23" ht="18" hidden="1">
      <c r="A58" s="445"/>
      <c r="B58" s="445"/>
      <c r="C58" s="477"/>
      <c r="D58" s="445"/>
      <c r="E58" s="445"/>
      <c r="F58" s="445"/>
      <c r="G58" s="445"/>
      <c r="H58" s="445"/>
      <c r="I58" s="445"/>
      <c r="J58" s="445"/>
      <c r="K58" s="445"/>
      <c r="L58" s="445"/>
      <c r="M58" s="445"/>
      <c r="N58" s="445"/>
      <c r="O58" s="445"/>
      <c r="P58" s="445"/>
      <c r="Q58" s="480"/>
      <c r="R58" s="445"/>
      <c r="S58" s="445"/>
      <c r="T58" s="445"/>
      <c r="U58" s="445"/>
      <c r="V58" s="445"/>
      <c r="W58" s="445"/>
    </row>
    <row r="59" spans="1:23" ht="18" hidden="1">
      <c r="A59" s="445"/>
      <c r="B59" s="445"/>
      <c r="C59" s="477"/>
      <c r="D59" s="445"/>
      <c r="E59" s="445"/>
      <c r="F59" s="445"/>
      <c r="G59" s="445"/>
      <c r="H59" s="445"/>
      <c r="I59" s="445"/>
      <c r="J59" s="445"/>
      <c r="K59" s="445"/>
      <c r="L59" s="445"/>
      <c r="M59" s="445"/>
      <c r="N59" s="445"/>
      <c r="O59" s="445"/>
      <c r="P59" s="445"/>
      <c r="Q59" s="445"/>
      <c r="R59" s="445"/>
      <c r="S59" s="445"/>
      <c r="T59" s="445"/>
      <c r="U59" s="445"/>
      <c r="V59" s="445"/>
      <c r="W59" s="445"/>
    </row>
    <row r="60" spans="1:23" ht="18" hidden="1">
      <c r="A60" s="445"/>
      <c r="B60" s="445"/>
      <c r="C60" s="477"/>
      <c r="D60" s="445"/>
      <c r="E60" s="445"/>
      <c r="F60" s="445"/>
      <c r="G60" s="445"/>
      <c r="H60" s="445"/>
      <c r="I60" s="445"/>
      <c r="J60" s="445"/>
      <c r="K60" s="445"/>
      <c r="L60" s="445"/>
      <c r="M60" s="445"/>
      <c r="N60" s="445"/>
      <c r="O60" s="445"/>
      <c r="P60" s="445"/>
      <c r="Q60" s="445"/>
      <c r="R60" s="445"/>
      <c r="S60" s="445"/>
      <c r="T60" s="445"/>
      <c r="U60" s="445"/>
      <c r="V60" s="445"/>
      <c r="W60" s="445"/>
    </row>
    <row r="61" spans="1:23" ht="18" hidden="1">
      <c r="A61" s="445"/>
      <c r="B61" s="445"/>
      <c r="C61" s="477"/>
      <c r="D61" s="445"/>
      <c r="E61" s="445"/>
      <c r="F61" s="445"/>
      <c r="G61" s="445"/>
      <c r="H61" s="445"/>
      <c r="I61" s="445"/>
      <c r="J61" s="445"/>
      <c r="K61" s="445"/>
      <c r="L61" s="445"/>
      <c r="M61" s="445"/>
      <c r="N61" s="445"/>
      <c r="O61" s="445"/>
      <c r="P61" s="445"/>
      <c r="Q61" s="445"/>
      <c r="R61" s="445"/>
      <c r="S61" s="445"/>
      <c r="T61" s="445"/>
      <c r="U61" s="445"/>
      <c r="V61" s="445"/>
      <c r="W61" s="445"/>
    </row>
    <row r="62" spans="1:23" ht="18">
      <c r="A62" s="445"/>
      <c r="B62" s="448"/>
      <c r="C62" s="477"/>
      <c r="D62" s="445"/>
      <c r="E62" s="445"/>
      <c r="F62" s="445"/>
      <c r="G62" s="445"/>
      <c r="H62" s="445"/>
      <c r="I62" s="445"/>
      <c r="J62" s="445"/>
      <c r="K62" s="445"/>
      <c r="L62" s="445"/>
      <c r="M62" s="445"/>
      <c r="N62" s="445"/>
      <c r="O62" s="445"/>
      <c r="P62" s="445"/>
      <c r="Q62" s="445"/>
      <c r="R62" s="445"/>
      <c r="S62" s="445"/>
      <c r="T62" s="445"/>
      <c r="U62" s="445"/>
      <c r="V62" s="445"/>
      <c r="W62" s="445"/>
    </row>
    <row r="63" spans="1:23" ht="18">
      <c r="A63" s="445"/>
      <c r="B63" s="445"/>
      <c r="C63" s="477"/>
      <c r="D63" s="445"/>
      <c r="E63" s="445"/>
      <c r="F63" s="445"/>
      <c r="G63" s="445"/>
      <c r="H63" s="445"/>
      <c r="I63" s="445"/>
      <c r="J63" s="445"/>
      <c r="K63" s="445"/>
      <c r="L63" s="445"/>
      <c r="M63" s="445"/>
      <c r="N63" s="445"/>
      <c r="O63" s="445"/>
      <c r="P63" s="445"/>
      <c r="Q63" s="445"/>
      <c r="R63" s="445"/>
      <c r="S63" s="445"/>
      <c r="T63" s="445"/>
      <c r="U63" s="445"/>
      <c r="V63" s="445"/>
      <c r="W63" s="445"/>
    </row>
    <row r="64" spans="1:23" ht="18">
      <c r="A64" s="445"/>
      <c r="B64" s="448"/>
      <c r="C64" s="481"/>
      <c r="D64" s="450"/>
      <c r="E64" s="483"/>
      <c r="F64" s="483"/>
      <c r="G64" s="483"/>
      <c r="H64" s="483"/>
      <c r="I64" s="483"/>
      <c r="J64" s="483"/>
      <c r="K64" s="483"/>
      <c r="L64" s="483"/>
      <c r="M64" s="483"/>
      <c r="N64" s="483"/>
      <c r="O64" s="483"/>
      <c r="P64" s="483"/>
      <c r="Q64" s="448"/>
      <c r="R64" s="448"/>
      <c r="S64" s="445"/>
      <c r="T64" s="445"/>
      <c r="U64" s="445"/>
      <c r="V64" s="445"/>
      <c r="W64" s="445"/>
    </row>
    <row r="65" spans="1:23" ht="18">
      <c r="A65" s="445"/>
      <c r="B65" s="445"/>
      <c r="C65" s="477"/>
      <c r="D65" s="445"/>
      <c r="E65" s="482"/>
      <c r="F65" s="482"/>
      <c r="G65" s="482"/>
      <c r="H65" s="482"/>
      <c r="I65" s="482"/>
      <c r="J65" s="482"/>
      <c r="K65" s="482"/>
      <c r="L65" s="482"/>
      <c r="M65" s="482"/>
      <c r="N65" s="482"/>
      <c r="O65" s="482"/>
      <c r="P65" s="482"/>
      <c r="Q65" s="482"/>
      <c r="R65" s="482"/>
      <c r="S65" s="445"/>
      <c r="T65" s="445"/>
      <c r="U65" s="445"/>
      <c r="V65" s="445"/>
      <c r="W65" s="445"/>
    </row>
    <row r="66" spans="1:23" ht="18">
      <c r="A66" s="445"/>
      <c r="B66" s="445"/>
      <c r="C66" s="477"/>
      <c r="D66" s="445"/>
      <c r="E66" s="482"/>
      <c r="F66" s="482"/>
      <c r="G66" s="482"/>
      <c r="H66" s="482"/>
      <c r="I66" s="482"/>
      <c r="J66" s="482"/>
      <c r="K66" s="482"/>
      <c r="L66" s="482"/>
      <c r="M66" s="482"/>
      <c r="N66" s="482"/>
      <c r="O66" s="482"/>
      <c r="P66" s="482"/>
      <c r="Q66" s="482"/>
      <c r="R66" s="482"/>
      <c r="S66" s="445"/>
      <c r="T66" s="445"/>
      <c r="U66" s="445"/>
      <c r="V66" s="445"/>
      <c r="W66" s="445"/>
    </row>
    <row r="67" spans="1:23" ht="18">
      <c r="A67" s="445"/>
      <c r="B67" s="445"/>
      <c r="C67" s="477"/>
      <c r="D67" s="445"/>
      <c r="E67" s="482"/>
      <c r="F67" s="482"/>
      <c r="G67" s="482"/>
      <c r="H67" s="482"/>
      <c r="I67" s="482"/>
      <c r="J67" s="482"/>
      <c r="K67" s="482"/>
      <c r="L67" s="482"/>
      <c r="M67" s="482"/>
      <c r="N67" s="482"/>
      <c r="O67" s="482"/>
      <c r="P67" s="482"/>
      <c r="Q67" s="482"/>
      <c r="R67" s="482"/>
      <c r="S67" s="445"/>
      <c r="T67" s="445"/>
      <c r="U67" s="445"/>
      <c r="V67" s="445"/>
      <c r="W67" s="445"/>
    </row>
    <row r="68" spans="1:23" ht="18">
      <c r="A68" s="445"/>
      <c r="B68" s="445"/>
      <c r="C68" s="477"/>
      <c r="D68" s="445"/>
      <c r="E68" s="482"/>
      <c r="F68" s="482"/>
      <c r="G68" s="482"/>
      <c r="H68" s="482"/>
      <c r="I68" s="482"/>
      <c r="J68" s="482"/>
      <c r="K68" s="482"/>
      <c r="L68" s="482"/>
      <c r="M68" s="482"/>
      <c r="N68" s="482"/>
      <c r="O68" s="482"/>
      <c r="P68" s="482"/>
      <c r="Q68" s="482"/>
      <c r="R68" s="482"/>
      <c r="S68" s="445"/>
      <c r="T68" s="445"/>
      <c r="U68" s="445"/>
      <c r="V68" s="445"/>
      <c r="W68" s="445"/>
    </row>
    <row r="69" spans="1:23" ht="18">
      <c r="A69" s="445"/>
      <c r="B69" s="445"/>
      <c r="C69" s="481"/>
      <c r="D69" s="445"/>
      <c r="E69" s="478"/>
      <c r="F69" s="478"/>
      <c r="G69" s="478"/>
      <c r="H69" s="478"/>
      <c r="I69" s="478"/>
      <c r="J69" s="478"/>
      <c r="K69" s="478"/>
      <c r="L69" s="478"/>
      <c r="M69" s="478"/>
      <c r="N69" s="478"/>
      <c r="O69" s="478"/>
      <c r="P69" s="478"/>
      <c r="Q69" s="480"/>
      <c r="R69" s="480"/>
      <c r="S69" s="445"/>
      <c r="T69" s="445"/>
      <c r="U69" s="445"/>
      <c r="V69" s="445"/>
      <c r="W69" s="445"/>
    </row>
    <row r="70" spans="1:23" ht="18">
      <c r="A70" s="445"/>
      <c r="B70" s="445"/>
      <c r="C70" s="477"/>
      <c r="D70" s="445"/>
      <c r="E70" s="445"/>
      <c r="F70" s="445"/>
      <c r="G70" s="445"/>
      <c r="H70" s="445"/>
      <c r="I70" s="445"/>
      <c r="J70" s="445"/>
      <c r="K70" s="445"/>
      <c r="L70" s="445"/>
      <c r="M70" s="478"/>
      <c r="N70" s="445"/>
      <c r="O70" s="445"/>
      <c r="P70" s="445"/>
      <c r="Q70" s="480"/>
      <c r="R70" s="445"/>
      <c r="S70" s="445"/>
      <c r="T70" s="445"/>
      <c r="U70" s="445"/>
      <c r="V70" s="445"/>
      <c r="W70" s="445"/>
    </row>
    <row r="71" spans="1:23" ht="18">
      <c r="A71" s="445"/>
      <c r="B71" s="445"/>
      <c r="C71" s="477"/>
      <c r="D71" s="445"/>
      <c r="E71" s="445"/>
      <c r="F71" s="445"/>
      <c r="G71" s="445"/>
      <c r="H71" s="445"/>
      <c r="I71" s="445"/>
      <c r="J71" s="445"/>
      <c r="K71" s="445"/>
      <c r="L71" s="445"/>
      <c r="M71" s="478"/>
      <c r="N71" s="445"/>
      <c r="O71" s="445"/>
      <c r="P71" s="445"/>
      <c r="Q71" s="478"/>
      <c r="R71" s="445"/>
      <c r="S71" s="445"/>
      <c r="T71" s="445"/>
      <c r="U71" s="445"/>
      <c r="V71" s="445"/>
      <c r="W71" s="445"/>
    </row>
    <row r="72" spans="1:23" ht="18">
      <c r="A72" s="445"/>
      <c r="B72" s="445"/>
      <c r="C72" s="477"/>
      <c r="D72" s="445"/>
      <c r="E72" s="445"/>
      <c r="F72" s="445"/>
      <c r="G72" s="445"/>
      <c r="H72" s="445"/>
      <c r="I72" s="445"/>
      <c r="J72" s="445"/>
      <c r="K72" s="445"/>
      <c r="L72" s="445"/>
      <c r="M72" s="479"/>
      <c r="N72" s="445"/>
      <c r="O72" s="479"/>
      <c r="P72" s="445"/>
      <c r="Q72" s="478"/>
      <c r="R72" s="445"/>
      <c r="S72" s="445"/>
      <c r="T72" s="445"/>
      <c r="U72" s="445"/>
      <c r="V72" s="445"/>
      <c r="W72" s="445"/>
    </row>
    <row r="73" spans="1:23" ht="18">
      <c r="A73" s="445"/>
      <c r="B73" s="445"/>
      <c r="C73" s="477"/>
      <c r="D73" s="445"/>
      <c r="E73" s="445"/>
      <c r="F73" s="445"/>
      <c r="G73" s="445"/>
      <c r="H73" s="445"/>
      <c r="I73" s="445"/>
      <c r="J73" s="445"/>
      <c r="K73" s="445"/>
      <c r="L73" s="445"/>
      <c r="M73" s="445"/>
      <c r="N73" s="445"/>
      <c r="O73" s="445"/>
      <c r="P73" s="445"/>
      <c r="Q73" s="445"/>
      <c r="R73" s="445"/>
      <c r="S73" s="445"/>
      <c r="T73" s="445"/>
      <c r="U73" s="445"/>
      <c r="V73" s="445"/>
      <c r="W73" s="445"/>
    </row>
    <row r="74" spans="1:23" ht="18">
      <c r="A74" s="445"/>
      <c r="B74" s="445"/>
      <c r="C74" s="477"/>
      <c r="D74" s="445"/>
      <c r="E74" s="445"/>
      <c r="F74" s="445"/>
      <c r="G74" s="445"/>
      <c r="H74" s="445"/>
      <c r="I74" s="445"/>
      <c r="J74" s="445"/>
      <c r="K74" s="445"/>
      <c r="L74" s="445"/>
      <c r="M74" s="445"/>
      <c r="N74" s="445"/>
      <c r="O74" s="445"/>
      <c r="P74" s="445"/>
      <c r="Q74" s="445"/>
      <c r="R74" s="445"/>
      <c r="S74" s="445"/>
      <c r="T74" s="445"/>
      <c r="U74" s="445"/>
      <c r="V74" s="445"/>
      <c r="W74" s="445"/>
    </row>
    <row r="75" spans="1:23" ht="18">
      <c r="A75" s="445"/>
      <c r="B75" s="445"/>
      <c r="C75" s="477"/>
      <c r="D75" s="445"/>
      <c r="E75" s="445"/>
      <c r="F75" s="445"/>
      <c r="G75" s="445"/>
      <c r="H75" s="445"/>
      <c r="I75" s="445"/>
      <c r="J75" s="445"/>
      <c r="K75" s="445"/>
      <c r="L75" s="445"/>
      <c r="M75" s="445"/>
      <c r="N75" s="445"/>
      <c r="O75" s="445"/>
      <c r="P75" s="445"/>
      <c r="Q75" s="445"/>
      <c r="R75" s="445"/>
      <c r="S75" s="445"/>
      <c r="T75" s="445"/>
      <c r="U75" s="445"/>
      <c r="V75" s="445"/>
      <c r="W75" s="445"/>
    </row>
    <row r="76" spans="1:23" ht="18">
      <c r="A76" s="445"/>
      <c r="B76" s="445"/>
      <c r="C76" s="477"/>
      <c r="D76" s="445"/>
      <c r="E76" s="445"/>
      <c r="F76" s="445"/>
      <c r="G76" s="445"/>
      <c r="H76" s="445"/>
      <c r="I76" s="445"/>
      <c r="J76" s="445"/>
      <c r="K76" s="445"/>
      <c r="L76" s="445"/>
      <c r="M76" s="445"/>
      <c r="N76" s="445"/>
      <c r="O76" s="445"/>
      <c r="P76" s="445"/>
      <c r="Q76" s="445"/>
      <c r="R76" s="445"/>
      <c r="S76" s="445"/>
      <c r="T76" s="445"/>
      <c r="U76" s="445"/>
      <c r="V76" s="445"/>
      <c r="W76" s="445"/>
    </row>
    <row r="77" spans="1:23" ht="18">
      <c r="A77" s="445"/>
      <c r="B77" s="445"/>
      <c r="C77" s="477"/>
      <c r="D77" s="445"/>
      <c r="E77" s="445"/>
      <c r="F77" s="445"/>
      <c r="G77" s="445"/>
      <c r="H77" s="445"/>
      <c r="I77" s="445"/>
      <c r="J77" s="445"/>
      <c r="K77" s="445"/>
      <c r="L77" s="445"/>
      <c r="M77" s="445"/>
      <c r="N77" s="445"/>
      <c r="O77" s="445"/>
      <c r="P77" s="445"/>
      <c r="Q77" s="445"/>
      <c r="R77" s="445"/>
      <c r="S77" s="445"/>
      <c r="T77" s="445"/>
      <c r="U77" s="445"/>
      <c r="V77" s="445"/>
      <c r="W77" s="445"/>
    </row>
    <row r="78" spans="1:23" ht="18">
      <c r="A78" s="445"/>
      <c r="B78" s="445"/>
      <c r="C78" s="477"/>
      <c r="D78" s="445"/>
      <c r="E78" s="445"/>
      <c r="F78" s="445"/>
      <c r="G78" s="445"/>
      <c r="H78" s="445"/>
      <c r="I78" s="445"/>
      <c r="J78" s="445"/>
      <c r="K78" s="445"/>
      <c r="L78" s="445"/>
      <c r="M78" s="445"/>
      <c r="N78" s="445"/>
      <c r="O78" s="445"/>
      <c r="P78" s="445"/>
      <c r="Q78" s="445"/>
      <c r="R78" s="445"/>
      <c r="S78" s="445"/>
      <c r="T78" s="445"/>
      <c r="U78" s="445"/>
      <c r="V78" s="445"/>
      <c r="W78" s="445"/>
    </row>
  </sheetData>
  <sheetProtection/>
  <mergeCells count="10">
    <mergeCell ref="A7:A10"/>
    <mergeCell ref="B7:B10"/>
    <mergeCell ref="A11:A14"/>
    <mergeCell ref="B11:B14"/>
    <mergeCell ref="A23:A26"/>
    <mergeCell ref="B23:B26"/>
    <mergeCell ref="A15:A18"/>
    <mergeCell ref="B15:B18"/>
    <mergeCell ref="A19:A22"/>
    <mergeCell ref="B19:B22"/>
  </mergeCells>
  <printOptions gridLines="1" horizontalCentered="1" verticalCentered="1"/>
  <pageMargins left="0.38" right="0.26" top="0.78" bottom="1" header="0.5" footer="0.5"/>
  <pageSetup fitToHeight="1" fitToWidth="1" horizontalDpi="600" verticalDpi="600" orientation="landscape" paperSize="9" scale="3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view="pageBreakPreview" zoomScale="60" zoomScaleNormal="75" zoomScalePageLayoutView="0" workbookViewId="0" topLeftCell="A22">
      <selection activeCell="I43" sqref="I43"/>
    </sheetView>
  </sheetViews>
  <sheetFormatPr defaultColWidth="9.140625" defaultRowHeight="12.75"/>
  <cols>
    <col min="1" max="1" width="57.8515625" style="504" customWidth="1"/>
    <col min="2" max="2" width="15.00390625" style="504" customWidth="1"/>
    <col min="3" max="3" width="14.57421875" style="504" customWidth="1"/>
    <col min="4" max="4" width="14.421875" style="504" customWidth="1"/>
    <col min="5" max="5" width="14.28125" style="504" customWidth="1"/>
    <col min="6" max="6" width="14.00390625" style="504" customWidth="1"/>
    <col min="7" max="7" width="13.8515625" style="504" customWidth="1"/>
    <col min="8" max="9" width="12.7109375" style="504" customWidth="1"/>
    <col min="10" max="16384" width="9.140625" style="504" customWidth="1"/>
  </cols>
  <sheetData>
    <row r="1" spans="1:7" s="507" customFormat="1" ht="36">
      <c r="A1" s="532" t="s">
        <v>341</v>
      </c>
      <c r="B1" s="528"/>
      <c r="F1" s="531" t="s">
        <v>366</v>
      </c>
      <c r="G1" s="530" t="s">
        <v>28</v>
      </c>
    </row>
    <row r="2" spans="1:2" s="507" customFormat="1" ht="18">
      <c r="A2" s="529" t="s">
        <v>449</v>
      </c>
      <c r="B2" s="528"/>
    </row>
    <row r="3" spans="1:2" s="507" customFormat="1" ht="18">
      <c r="A3" s="529"/>
      <c r="B3" s="528"/>
    </row>
    <row r="4" spans="1:11" s="507" customFormat="1" ht="54">
      <c r="A4" s="519" t="s">
        <v>750</v>
      </c>
      <c r="B4" s="508"/>
      <c r="C4" s="508"/>
      <c r="D4" s="508"/>
      <c r="E4" s="508"/>
      <c r="F4" s="508"/>
      <c r="G4" s="508"/>
      <c r="H4" s="508"/>
      <c r="I4" s="508"/>
      <c r="J4" s="508"/>
      <c r="K4" s="508"/>
    </row>
    <row r="5" spans="1:11" s="507" customFormat="1" ht="18">
      <c r="A5" s="508"/>
      <c r="B5" s="508"/>
      <c r="C5" s="508"/>
      <c r="D5" s="508"/>
      <c r="E5" s="508"/>
      <c r="F5" s="508"/>
      <c r="G5" s="508"/>
      <c r="H5" s="508"/>
      <c r="I5" s="508"/>
      <c r="J5" s="508"/>
      <c r="K5" s="508"/>
    </row>
    <row r="6" spans="1:11" s="507" customFormat="1" ht="36">
      <c r="A6" s="523" t="s">
        <v>29</v>
      </c>
      <c r="B6" s="523" t="s">
        <v>30</v>
      </c>
      <c r="C6" s="523" t="s">
        <v>31</v>
      </c>
      <c r="D6" s="523" t="s">
        <v>32</v>
      </c>
      <c r="E6" s="523" t="s">
        <v>33</v>
      </c>
      <c r="F6" s="523" t="s">
        <v>34</v>
      </c>
      <c r="G6" s="523" t="s">
        <v>35</v>
      </c>
      <c r="H6" s="523" t="s">
        <v>36</v>
      </c>
      <c r="I6" s="523" t="s">
        <v>396</v>
      </c>
      <c r="J6" s="508"/>
      <c r="K6" s="508"/>
    </row>
    <row r="7" spans="1:11" s="507" customFormat="1" ht="18">
      <c r="A7" s="524" t="s">
        <v>37</v>
      </c>
      <c r="B7" s="526">
        <v>519.75</v>
      </c>
      <c r="C7" s="526">
        <v>823.68</v>
      </c>
      <c r="D7" s="526">
        <v>1171.17</v>
      </c>
      <c r="E7" s="526">
        <v>677.16</v>
      </c>
      <c r="F7" s="527">
        <v>485.1</v>
      </c>
      <c r="G7" s="523">
        <f aca="true" t="shared" si="0" ref="G7:G15">SUM(B7:F7)</f>
        <v>3676.8599999999997</v>
      </c>
      <c r="H7" s="526">
        <v>1942.38</v>
      </c>
      <c r="I7" s="523">
        <f aca="true" t="shared" si="1" ref="I7:I15">SUM(G7:H7)</f>
        <v>5619.24</v>
      </c>
      <c r="J7" s="508"/>
      <c r="K7" s="508"/>
    </row>
    <row r="8" spans="1:11" s="507" customFormat="1" ht="36">
      <c r="A8" s="524" t="s">
        <v>49</v>
      </c>
      <c r="B8" s="526">
        <v>885.474</v>
      </c>
      <c r="C8" s="526">
        <v>852.31</v>
      </c>
      <c r="D8" s="526">
        <v>1631.962</v>
      </c>
      <c r="E8" s="526">
        <v>669.359</v>
      </c>
      <c r="F8" s="525">
        <v>295.201</v>
      </c>
      <c r="G8" s="523">
        <f t="shared" si="0"/>
        <v>4334.3060000000005</v>
      </c>
      <c r="H8" s="526">
        <v>2445.106</v>
      </c>
      <c r="I8" s="523">
        <f t="shared" si="1"/>
        <v>6779.412</v>
      </c>
      <c r="J8" s="508"/>
      <c r="K8" s="508"/>
    </row>
    <row r="9" spans="1:11" s="507" customFormat="1" ht="36">
      <c r="A9" s="524" t="s">
        <v>50</v>
      </c>
      <c r="B9" s="526">
        <v>595.899</v>
      </c>
      <c r="C9" s="526">
        <v>399.087</v>
      </c>
      <c r="D9" s="526">
        <v>729.779</v>
      </c>
      <c r="E9" s="526">
        <v>308.351</v>
      </c>
      <c r="F9" s="525">
        <v>137.859</v>
      </c>
      <c r="G9" s="523">
        <f t="shared" si="0"/>
        <v>2170.975</v>
      </c>
      <c r="H9" s="526">
        <v>1671.642</v>
      </c>
      <c r="I9" s="523">
        <f t="shared" si="1"/>
        <v>3842.617</v>
      </c>
      <c r="J9" s="508"/>
      <c r="K9" s="508"/>
    </row>
    <row r="10" spans="1:11" s="507" customFormat="1" ht="18">
      <c r="A10" s="524" t="s">
        <v>490</v>
      </c>
      <c r="B10" s="525">
        <v>3.01</v>
      </c>
      <c r="C10" s="525">
        <v>0.46</v>
      </c>
      <c r="D10" s="525">
        <v>5.23</v>
      </c>
      <c r="E10" s="525">
        <v>1.44</v>
      </c>
      <c r="F10" s="525">
        <v>0.88</v>
      </c>
      <c r="G10" s="523">
        <f t="shared" si="0"/>
        <v>11.02</v>
      </c>
      <c r="H10" s="525">
        <v>0</v>
      </c>
      <c r="I10" s="523">
        <f t="shared" si="1"/>
        <v>11.02</v>
      </c>
      <c r="J10" s="508"/>
      <c r="K10" s="508"/>
    </row>
    <row r="11" spans="1:11" s="507" customFormat="1" ht="18">
      <c r="A11" s="524" t="s">
        <v>491</v>
      </c>
      <c r="B11" s="525">
        <v>2.667</v>
      </c>
      <c r="C11" s="525">
        <v>0.758</v>
      </c>
      <c r="D11" s="525">
        <v>10.196</v>
      </c>
      <c r="E11" s="525">
        <v>8.198</v>
      </c>
      <c r="F11" s="525">
        <v>2.172</v>
      </c>
      <c r="G11" s="523">
        <f t="shared" si="0"/>
        <v>23.991</v>
      </c>
      <c r="H11" s="525">
        <v>47.792</v>
      </c>
      <c r="I11" s="523">
        <f t="shared" si="1"/>
        <v>71.783</v>
      </c>
      <c r="J11" s="508"/>
      <c r="K11" s="508"/>
    </row>
    <row r="12" spans="1:11" s="507" customFormat="1" ht="18">
      <c r="A12" s="524" t="s">
        <v>489</v>
      </c>
      <c r="B12" s="525">
        <v>3.77</v>
      </c>
      <c r="C12" s="525">
        <v>3.19</v>
      </c>
      <c r="D12" s="525">
        <v>15.27</v>
      </c>
      <c r="E12" s="525">
        <v>7.01</v>
      </c>
      <c r="F12" s="525">
        <v>3.51</v>
      </c>
      <c r="G12" s="523">
        <f t="shared" si="0"/>
        <v>32.75</v>
      </c>
      <c r="H12" s="525">
        <v>30.23</v>
      </c>
      <c r="I12" s="523">
        <f t="shared" si="1"/>
        <v>62.980000000000004</v>
      </c>
      <c r="J12" s="508"/>
      <c r="K12" s="508"/>
    </row>
    <row r="13" spans="1:11" s="507" customFormat="1" ht="18">
      <c r="A13" s="524" t="s">
        <v>38</v>
      </c>
      <c r="B13" s="525">
        <v>44.33</v>
      </c>
      <c r="C13" s="525">
        <v>35.02</v>
      </c>
      <c r="D13" s="525">
        <v>67.66</v>
      </c>
      <c r="E13" s="525">
        <v>65.49</v>
      </c>
      <c r="F13" s="525">
        <v>15.64</v>
      </c>
      <c r="G13" s="523">
        <f t="shared" si="0"/>
        <v>228.14</v>
      </c>
      <c r="H13" s="525">
        <v>66.31</v>
      </c>
      <c r="I13" s="523">
        <f t="shared" si="1"/>
        <v>294.45</v>
      </c>
      <c r="J13" s="508"/>
      <c r="K13" s="508"/>
    </row>
    <row r="14" spans="1:11" s="507" customFormat="1" ht="18">
      <c r="A14" s="524" t="s">
        <v>39</v>
      </c>
      <c r="B14" s="525">
        <v>1.96</v>
      </c>
      <c r="C14" s="525">
        <v>1.5</v>
      </c>
      <c r="D14" s="525">
        <v>3.27</v>
      </c>
      <c r="E14" s="525">
        <v>2.95</v>
      </c>
      <c r="F14" s="525">
        <v>0.75</v>
      </c>
      <c r="G14" s="523">
        <f t="shared" si="0"/>
        <v>10.43</v>
      </c>
      <c r="H14" s="525">
        <v>4.02</v>
      </c>
      <c r="I14" s="523">
        <f t="shared" si="1"/>
        <v>14.45</v>
      </c>
      <c r="J14" s="508"/>
      <c r="K14" s="508"/>
    </row>
    <row r="15" spans="1:11" s="507" customFormat="1" ht="18">
      <c r="A15" s="524" t="s">
        <v>464</v>
      </c>
      <c r="B15" s="525">
        <v>0.44</v>
      </c>
      <c r="C15" s="525">
        <v>0.12</v>
      </c>
      <c r="D15" s="525">
        <v>1.67</v>
      </c>
      <c r="E15" s="525">
        <v>1.35</v>
      </c>
      <c r="F15" s="525">
        <v>0.36</v>
      </c>
      <c r="G15" s="523">
        <f t="shared" si="0"/>
        <v>3.94</v>
      </c>
      <c r="H15" s="525">
        <v>7.85</v>
      </c>
      <c r="I15" s="523">
        <f t="shared" si="1"/>
        <v>11.79</v>
      </c>
      <c r="J15" s="508"/>
      <c r="K15" s="508"/>
    </row>
    <row r="16" spans="1:11" s="507" customFormat="1" ht="18">
      <c r="A16" s="524" t="s">
        <v>40</v>
      </c>
      <c r="B16" s="521">
        <f aca="true" t="shared" si="2" ref="B16:I16">SUM(B10:B15)</f>
        <v>56.177</v>
      </c>
      <c r="C16" s="521">
        <f t="shared" si="2"/>
        <v>41.048</v>
      </c>
      <c r="D16" s="521">
        <f t="shared" si="2"/>
        <v>103.29599999999999</v>
      </c>
      <c r="E16" s="521">
        <f t="shared" si="2"/>
        <v>86.43799999999999</v>
      </c>
      <c r="F16" s="521">
        <f t="shared" si="2"/>
        <v>23.311999999999998</v>
      </c>
      <c r="G16" s="521">
        <f t="shared" si="2"/>
        <v>310.27099999999996</v>
      </c>
      <c r="H16" s="521">
        <f t="shared" si="2"/>
        <v>156.202</v>
      </c>
      <c r="I16" s="521">
        <f t="shared" si="2"/>
        <v>466.473</v>
      </c>
      <c r="J16" s="508"/>
      <c r="K16" s="508"/>
    </row>
    <row r="17" spans="1:11" s="507" customFormat="1" ht="18">
      <c r="A17" s="522" t="s">
        <v>48</v>
      </c>
      <c r="B17" s="521">
        <f aca="true" t="shared" si="3" ref="B17:I17">B16/B8*1000</f>
        <v>63.44285659432122</v>
      </c>
      <c r="C17" s="521">
        <f t="shared" si="3"/>
        <v>48.16088043082916</v>
      </c>
      <c r="D17" s="521">
        <f t="shared" si="3"/>
        <v>63.29559144146739</v>
      </c>
      <c r="E17" s="521">
        <f t="shared" si="3"/>
        <v>129.13548633842225</v>
      </c>
      <c r="F17" s="521">
        <f t="shared" si="3"/>
        <v>78.96992218861045</v>
      </c>
      <c r="G17" s="521">
        <f t="shared" si="3"/>
        <v>71.58493193604696</v>
      </c>
      <c r="H17" s="521">
        <f t="shared" si="3"/>
        <v>63.88352897583989</v>
      </c>
      <c r="I17" s="521">
        <f t="shared" si="3"/>
        <v>68.80729479193771</v>
      </c>
      <c r="J17" s="508"/>
      <c r="K17" s="508"/>
    </row>
    <row r="18" spans="1:11" s="507" customFormat="1" ht="18">
      <c r="A18" s="520"/>
      <c r="B18" s="518"/>
      <c r="C18" s="518"/>
      <c r="D18" s="518"/>
      <c r="E18" s="518"/>
      <c r="F18" s="518"/>
      <c r="G18" s="518"/>
      <c r="H18" s="518"/>
      <c r="I18" s="518"/>
      <c r="J18" s="508"/>
      <c r="K18" s="508"/>
    </row>
    <row r="19" spans="1:11" s="507" customFormat="1" ht="36">
      <c r="A19" s="519" t="s">
        <v>749</v>
      </c>
      <c r="B19" s="508"/>
      <c r="C19" s="508"/>
      <c r="D19" s="508"/>
      <c r="E19" s="508"/>
      <c r="F19" s="508"/>
      <c r="G19" s="508"/>
      <c r="H19" s="508"/>
      <c r="I19" s="508"/>
      <c r="J19" s="508"/>
      <c r="K19" s="508"/>
    </row>
    <row r="20" spans="1:11" s="507" customFormat="1" ht="18">
      <c r="A20" s="508"/>
      <c r="B20" s="508"/>
      <c r="C20" s="508"/>
      <c r="D20" s="508"/>
      <c r="E20" s="508"/>
      <c r="F20" s="508"/>
      <c r="G20" s="508"/>
      <c r="H20" s="508"/>
      <c r="I20" s="508"/>
      <c r="J20" s="508"/>
      <c r="K20" s="508"/>
    </row>
    <row r="21" spans="1:11" s="507" customFormat="1" ht="36">
      <c r="A21" s="523" t="s">
        <v>29</v>
      </c>
      <c r="B21" s="523" t="s">
        <v>30</v>
      </c>
      <c r="C21" s="523" t="s">
        <v>31</v>
      </c>
      <c r="D21" s="523" t="s">
        <v>32</v>
      </c>
      <c r="E21" s="523" t="s">
        <v>33</v>
      </c>
      <c r="F21" s="523" t="s">
        <v>34</v>
      </c>
      <c r="G21" s="523" t="s">
        <v>35</v>
      </c>
      <c r="H21" s="523" t="s">
        <v>36</v>
      </c>
      <c r="I21" s="523" t="s">
        <v>396</v>
      </c>
      <c r="J21" s="508"/>
      <c r="K21" s="508"/>
    </row>
    <row r="22" spans="1:11" s="507" customFormat="1" ht="18">
      <c r="A22" s="524" t="s">
        <v>37</v>
      </c>
      <c r="B22" s="526">
        <v>525</v>
      </c>
      <c r="C22" s="526">
        <v>832</v>
      </c>
      <c r="D22" s="526">
        <v>1183</v>
      </c>
      <c r="E22" s="526">
        <v>684</v>
      </c>
      <c r="F22" s="525">
        <v>490</v>
      </c>
      <c r="G22" s="523">
        <f>SUM(B22:F22)</f>
        <v>3714</v>
      </c>
      <c r="H22" s="526">
        <v>1962</v>
      </c>
      <c r="I22" s="523">
        <f>SUM(G22:H22)</f>
        <v>5676</v>
      </c>
      <c r="J22" s="508"/>
      <c r="K22" s="508"/>
    </row>
    <row r="23" spans="1:11" s="507" customFormat="1" ht="36">
      <c r="A23" s="524" t="s">
        <v>51</v>
      </c>
      <c r="B23" s="526">
        <v>885.47</v>
      </c>
      <c r="C23" s="526">
        <v>852.31</v>
      </c>
      <c r="D23" s="526">
        <v>1631.96</v>
      </c>
      <c r="E23" s="526">
        <v>669.36</v>
      </c>
      <c r="F23" s="525">
        <v>295.2</v>
      </c>
      <c r="G23" s="523">
        <f>SUM(B23:F23)</f>
        <v>4334.3</v>
      </c>
      <c r="H23" s="526">
        <v>2445.11</v>
      </c>
      <c r="I23" s="523">
        <f>SUM(G23:H23)</f>
        <v>6779.41</v>
      </c>
      <c r="J23" s="508"/>
      <c r="K23" s="508"/>
    </row>
    <row r="24" spans="1:11" s="507" customFormat="1" ht="18">
      <c r="A24" s="524"/>
      <c r="B24" s="526"/>
      <c r="C24" s="526"/>
      <c r="D24" s="526"/>
      <c r="E24" s="526"/>
      <c r="F24" s="525"/>
      <c r="G24" s="523"/>
      <c r="H24" s="526"/>
      <c r="I24" s="523"/>
      <c r="J24" s="508"/>
      <c r="K24" s="508"/>
    </row>
    <row r="25" spans="1:11" s="507" customFormat="1" ht="18">
      <c r="A25" s="524" t="s">
        <v>490</v>
      </c>
      <c r="B25" s="525">
        <v>3.01</v>
      </c>
      <c r="C25" s="525">
        <v>0.46</v>
      </c>
      <c r="D25" s="525">
        <v>5.23</v>
      </c>
      <c r="E25" s="525">
        <v>1.44</v>
      </c>
      <c r="F25" s="525">
        <v>0.88</v>
      </c>
      <c r="G25" s="523">
        <f aca="true" t="shared" si="4" ref="G25:G30">SUM(B25:F25)</f>
        <v>11.02</v>
      </c>
      <c r="H25" s="525">
        <v>0</v>
      </c>
      <c r="I25" s="523">
        <f aca="true" t="shared" si="5" ref="I25:I30">SUM(G25:H25)</f>
        <v>11.02</v>
      </c>
      <c r="J25" s="508"/>
      <c r="K25" s="508"/>
    </row>
    <row r="26" spans="1:11" s="507" customFormat="1" ht="18">
      <c r="A26" s="524" t="s">
        <v>491</v>
      </c>
      <c r="B26" s="525">
        <v>2.667</v>
      </c>
      <c r="C26" s="525">
        <v>0.758</v>
      </c>
      <c r="D26" s="525">
        <v>10.196</v>
      </c>
      <c r="E26" s="525">
        <v>8.198</v>
      </c>
      <c r="F26" s="525">
        <v>2.172</v>
      </c>
      <c r="G26" s="523">
        <f t="shared" si="4"/>
        <v>23.991</v>
      </c>
      <c r="H26" s="525">
        <v>47.792</v>
      </c>
      <c r="I26" s="523">
        <f t="shared" si="5"/>
        <v>71.783</v>
      </c>
      <c r="J26" s="508"/>
      <c r="K26" s="508"/>
    </row>
    <row r="27" spans="1:11" s="507" customFormat="1" ht="18">
      <c r="A27" s="524" t="s">
        <v>489</v>
      </c>
      <c r="B27" s="525">
        <v>3.77</v>
      </c>
      <c r="C27" s="525">
        <v>3.19</v>
      </c>
      <c r="D27" s="525">
        <v>15.27</v>
      </c>
      <c r="E27" s="525">
        <v>7.01</v>
      </c>
      <c r="F27" s="525">
        <v>3.51</v>
      </c>
      <c r="G27" s="523">
        <f t="shared" si="4"/>
        <v>32.75</v>
      </c>
      <c r="H27" s="525">
        <v>30.23</v>
      </c>
      <c r="I27" s="523">
        <f t="shared" si="5"/>
        <v>62.980000000000004</v>
      </c>
      <c r="J27" s="508"/>
      <c r="K27" s="508"/>
    </row>
    <row r="28" spans="1:11" s="507" customFormat="1" ht="18">
      <c r="A28" s="524" t="s">
        <v>38</v>
      </c>
      <c r="B28" s="525">
        <v>44.33</v>
      </c>
      <c r="C28" s="525">
        <v>35.02</v>
      </c>
      <c r="D28" s="525">
        <v>67.66</v>
      </c>
      <c r="E28" s="525">
        <v>65.49</v>
      </c>
      <c r="F28" s="525">
        <v>15.64</v>
      </c>
      <c r="G28" s="523">
        <f t="shared" si="4"/>
        <v>228.14</v>
      </c>
      <c r="H28" s="525">
        <v>66.31</v>
      </c>
      <c r="I28" s="523">
        <f t="shared" si="5"/>
        <v>294.45</v>
      </c>
      <c r="J28" s="508"/>
      <c r="K28" s="508"/>
    </row>
    <row r="29" spans="1:11" s="507" customFormat="1" ht="18">
      <c r="A29" s="524" t="s">
        <v>39</v>
      </c>
      <c r="B29" s="525">
        <v>1.96</v>
      </c>
      <c r="C29" s="525">
        <v>1.5</v>
      </c>
      <c r="D29" s="525">
        <v>3.27</v>
      </c>
      <c r="E29" s="525">
        <v>2.95</v>
      </c>
      <c r="F29" s="525">
        <v>0.75</v>
      </c>
      <c r="G29" s="523">
        <f t="shared" si="4"/>
        <v>10.43</v>
      </c>
      <c r="H29" s="525">
        <v>4.02</v>
      </c>
      <c r="I29" s="523">
        <f t="shared" si="5"/>
        <v>14.45</v>
      </c>
      <c r="J29" s="508"/>
      <c r="K29" s="508"/>
    </row>
    <row r="30" spans="1:11" s="507" customFormat="1" ht="18">
      <c r="A30" s="524" t="s">
        <v>464</v>
      </c>
      <c r="B30" s="525">
        <v>0.44</v>
      </c>
      <c r="C30" s="525">
        <v>0.12</v>
      </c>
      <c r="D30" s="525">
        <v>1.67</v>
      </c>
      <c r="E30" s="525">
        <v>1.35</v>
      </c>
      <c r="F30" s="525">
        <v>0.36</v>
      </c>
      <c r="G30" s="523">
        <f t="shared" si="4"/>
        <v>3.94</v>
      </c>
      <c r="H30" s="525">
        <v>7.85</v>
      </c>
      <c r="I30" s="523">
        <f t="shared" si="5"/>
        <v>11.79</v>
      </c>
      <c r="J30" s="508"/>
      <c r="K30" s="508"/>
    </row>
    <row r="31" spans="1:11" s="507" customFormat="1" ht="18">
      <c r="A31" s="524" t="s">
        <v>40</v>
      </c>
      <c r="B31" s="523">
        <f aca="true" t="shared" si="6" ref="B31:I31">SUM(B25:B30)</f>
        <v>56.177</v>
      </c>
      <c r="C31" s="523">
        <f t="shared" si="6"/>
        <v>41.048</v>
      </c>
      <c r="D31" s="523">
        <f t="shared" si="6"/>
        <v>103.29599999999999</v>
      </c>
      <c r="E31" s="523">
        <f t="shared" si="6"/>
        <v>86.43799999999999</v>
      </c>
      <c r="F31" s="523">
        <f t="shared" si="6"/>
        <v>23.311999999999998</v>
      </c>
      <c r="G31" s="523">
        <f t="shared" si="6"/>
        <v>310.27099999999996</v>
      </c>
      <c r="H31" s="523">
        <f t="shared" si="6"/>
        <v>156.202</v>
      </c>
      <c r="I31" s="523">
        <f t="shared" si="6"/>
        <v>466.473</v>
      </c>
      <c r="J31" s="508"/>
      <c r="K31" s="508"/>
    </row>
    <row r="32" spans="1:11" s="507" customFormat="1" ht="18">
      <c r="A32" s="522" t="s">
        <v>48</v>
      </c>
      <c r="B32" s="521">
        <f aca="true" t="shared" si="7" ref="B32:I32">B31/B23*1000</f>
        <v>63.44314318949258</v>
      </c>
      <c r="C32" s="521">
        <f t="shared" si="7"/>
        <v>48.16088043082916</v>
      </c>
      <c r="D32" s="521">
        <f t="shared" si="7"/>
        <v>63.29566901149537</v>
      </c>
      <c r="E32" s="521">
        <f t="shared" si="7"/>
        <v>129.13529341460497</v>
      </c>
      <c r="F32" s="521">
        <f t="shared" si="7"/>
        <v>78.97018970189701</v>
      </c>
      <c r="G32" s="521">
        <f t="shared" si="7"/>
        <v>71.58503103153912</v>
      </c>
      <c r="H32" s="521">
        <f t="shared" si="7"/>
        <v>63.88342446761086</v>
      </c>
      <c r="I32" s="521">
        <f t="shared" si="7"/>
        <v>68.80731509084124</v>
      </c>
      <c r="J32" s="508"/>
      <c r="K32" s="508"/>
    </row>
    <row r="33" spans="1:11" s="507" customFormat="1" ht="18">
      <c r="A33" s="520"/>
      <c r="B33" s="518"/>
      <c r="C33" s="518"/>
      <c r="D33" s="518"/>
      <c r="E33" s="518"/>
      <c r="F33" s="518"/>
      <c r="G33" s="518"/>
      <c r="H33" s="518"/>
      <c r="I33" s="518"/>
      <c r="J33" s="508"/>
      <c r="K33" s="508"/>
    </row>
    <row r="34" spans="1:11" s="507" customFormat="1" ht="36">
      <c r="A34" s="519" t="s">
        <v>500</v>
      </c>
      <c r="B34" s="518"/>
      <c r="C34" s="518"/>
      <c r="D34" s="518"/>
      <c r="E34" s="518"/>
      <c r="F34" s="518"/>
      <c r="G34" s="518"/>
      <c r="H34" s="518"/>
      <c r="I34" s="518"/>
      <c r="J34" s="508"/>
      <c r="K34" s="508"/>
    </row>
    <row r="35" spans="1:11" s="507" customFormat="1" ht="18">
      <c r="A35" s="519"/>
      <c r="B35" s="518"/>
      <c r="C35" s="518"/>
      <c r="D35" s="518"/>
      <c r="E35" s="518"/>
      <c r="F35" s="518"/>
      <c r="G35" s="518"/>
      <c r="H35" s="518"/>
      <c r="I35" s="518"/>
      <c r="J35" s="508"/>
      <c r="K35" s="508"/>
    </row>
    <row r="36" spans="1:11" s="507" customFormat="1" ht="18">
      <c r="A36" s="517" t="s">
        <v>41</v>
      </c>
      <c r="B36" s="601" t="s">
        <v>55</v>
      </c>
      <c r="C36" s="601"/>
      <c r="D36" s="601"/>
      <c r="E36" s="602" t="s">
        <v>42</v>
      </c>
      <c r="F36" s="602"/>
      <c r="G36" s="602"/>
      <c r="H36" s="508"/>
      <c r="I36" s="508"/>
      <c r="J36" s="508"/>
      <c r="K36" s="508"/>
    </row>
    <row r="37" spans="1:11" s="507" customFormat="1" ht="72">
      <c r="A37" s="516"/>
      <c r="B37" s="516" t="s">
        <v>52</v>
      </c>
      <c r="C37" s="516" t="s">
        <v>53</v>
      </c>
      <c r="D37" s="516" t="s">
        <v>54</v>
      </c>
      <c r="E37" s="516" t="s">
        <v>52</v>
      </c>
      <c r="F37" s="516" t="s">
        <v>53</v>
      </c>
      <c r="G37" s="516" t="s">
        <v>54</v>
      </c>
      <c r="H37" s="508"/>
      <c r="I37" s="508"/>
      <c r="J37" s="508"/>
      <c r="K37" s="508"/>
    </row>
    <row r="38" spans="1:11" s="507" customFormat="1" ht="18">
      <c r="A38" s="513" t="s">
        <v>43</v>
      </c>
      <c r="B38" s="509">
        <v>20.39</v>
      </c>
      <c r="C38" s="512">
        <v>28.09</v>
      </c>
      <c r="D38" s="510"/>
      <c r="E38" s="510">
        <v>39.23</v>
      </c>
      <c r="F38" s="509">
        <v>54.045</v>
      </c>
      <c r="G38" s="512">
        <v>82.48</v>
      </c>
      <c r="H38" s="508"/>
      <c r="I38" s="508"/>
      <c r="J38" s="508"/>
      <c r="K38" s="508"/>
    </row>
    <row r="39" spans="1:11" s="507" customFormat="1" ht="18">
      <c r="A39" s="515" t="s">
        <v>44</v>
      </c>
      <c r="B39" s="509">
        <v>14.56</v>
      </c>
      <c r="C39" s="512">
        <v>20.525</v>
      </c>
      <c r="D39" s="510"/>
      <c r="E39" s="510">
        <v>17.676</v>
      </c>
      <c r="F39" s="509">
        <v>24.918</v>
      </c>
      <c r="G39" s="512">
        <v>51.15</v>
      </c>
      <c r="H39" s="508"/>
      <c r="I39" s="508"/>
      <c r="J39" s="508"/>
      <c r="K39" s="508"/>
    </row>
    <row r="40" spans="1:11" s="507" customFormat="1" ht="18">
      <c r="A40" s="513" t="s">
        <v>45</v>
      </c>
      <c r="B40" s="509">
        <v>41.65</v>
      </c>
      <c r="C40" s="512">
        <v>51.655</v>
      </c>
      <c r="D40" s="510"/>
      <c r="E40" s="510">
        <v>35.562</v>
      </c>
      <c r="F40" s="509">
        <v>44.105</v>
      </c>
      <c r="G40" s="512">
        <v>89.61</v>
      </c>
      <c r="H40" s="508"/>
      <c r="I40" s="508"/>
      <c r="J40" s="508"/>
      <c r="K40" s="508"/>
    </row>
    <row r="41" spans="1:11" s="507" customFormat="1" ht="18">
      <c r="A41" s="513" t="s">
        <v>33</v>
      </c>
      <c r="B41" s="514">
        <v>31.33</v>
      </c>
      <c r="C41" s="512">
        <v>43.215</v>
      </c>
      <c r="D41" s="510"/>
      <c r="E41" s="510">
        <v>46.266</v>
      </c>
      <c r="F41" s="514">
        <v>63.818</v>
      </c>
      <c r="G41" s="512">
        <v>131.93</v>
      </c>
      <c r="H41" s="508"/>
      <c r="I41" s="508"/>
      <c r="J41" s="508"/>
      <c r="K41" s="508"/>
    </row>
    <row r="42" spans="1:11" s="507" customFormat="1" ht="18">
      <c r="A42" s="513" t="s">
        <v>34</v>
      </c>
      <c r="B42" s="514">
        <v>12.66</v>
      </c>
      <c r="C42" s="512">
        <v>11.655</v>
      </c>
      <c r="D42" s="510"/>
      <c r="E42" s="510">
        <v>26.097</v>
      </c>
      <c r="F42" s="514">
        <v>24.025</v>
      </c>
      <c r="G42" s="512">
        <v>79.8</v>
      </c>
      <c r="H42" s="508"/>
      <c r="I42" s="508"/>
      <c r="J42" s="508"/>
      <c r="K42" s="508"/>
    </row>
    <row r="43" spans="1:11" s="507" customFormat="1" ht="18">
      <c r="A43" s="513" t="s">
        <v>46</v>
      </c>
      <c r="B43" s="509">
        <v>78.2</v>
      </c>
      <c r="C43" s="512">
        <v>78.1</v>
      </c>
      <c r="D43" s="510"/>
      <c r="E43" s="510">
        <v>40.259</v>
      </c>
      <c r="F43" s="509">
        <v>40.208</v>
      </c>
      <c r="G43" s="512">
        <v>78.43</v>
      </c>
      <c r="H43" s="508"/>
      <c r="I43" s="508"/>
      <c r="J43" s="508"/>
      <c r="K43" s="508"/>
    </row>
    <row r="44" spans="1:11" s="507" customFormat="1" ht="18">
      <c r="A44" s="511" t="s">
        <v>47</v>
      </c>
      <c r="B44" s="509">
        <v>0</v>
      </c>
      <c r="C44" s="509">
        <v>0</v>
      </c>
      <c r="D44" s="510"/>
      <c r="E44" s="510">
        <v>30.8</v>
      </c>
      <c r="F44" s="509">
        <v>41.68</v>
      </c>
      <c r="G44" s="509">
        <v>33.86</v>
      </c>
      <c r="H44" s="508"/>
      <c r="I44" s="508"/>
      <c r="J44" s="508"/>
      <c r="K44" s="508"/>
    </row>
    <row r="45" spans="1:11" ht="15">
      <c r="A45" s="506"/>
      <c r="B45" s="506"/>
      <c r="C45" s="506"/>
      <c r="D45" s="506"/>
      <c r="E45" s="506"/>
      <c r="F45" s="506"/>
      <c r="G45" s="506"/>
      <c r="H45" s="506"/>
      <c r="I45" s="506"/>
      <c r="J45" s="505"/>
      <c r="K45" s="505"/>
    </row>
    <row r="46" spans="1:11" ht="12.75">
      <c r="A46" s="505"/>
      <c r="B46" s="505"/>
      <c r="C46" s="505"/>
      <c r="D46" s="505"/>
      <c r="E46" s="505"/>
      <c r="F46" s="505"/>
      <c r="G46" s="505"/>
      <c r="H46" s="505"/>
      <c r="I46" s="505"/>
      <c r="J46" s="505"/>
      <c r="K46" s="505"/>
    </row>
    <row r="47" spans="1:11" ht="12.75">
      <c r="A47" s="505"/>
      <c r="B47" s="505"/>
      <c r="C47" s="505"/>
      <c r="D47" s="505"/>
      <c r="E47" s="505"/>
      <c r="F47" s="505"/>
      <c r="G47" s="505"/>
      <c r="H47" s="505"/>
      <c r="I47" s="505"/>
      <c r="J47" s="505"/>
      <c r="K47" s="505"/>
    </row>
    <row r="48" spans="1:11" ht="12.75">
      <c r="A48" s="505"/>
      <c r="B48" s="505"/>
      <c r="C48" s="505"/>
      <c r="D48" s="505"/>
      <c r="E48" s="505"/>
      <c r="F48" s="505"/>
      <c r="G48" s="505"/>
      <c r="H48" s="505"/>
      <c r="I48" s="505"/>
      <c r="J48" s="505"/>
      <c r="K48" s="505"/>
    </row>
    <row r="49" spans="1:11" ht="12.75">
      <c r="A49" s="505"/>
      <c r="B49" s="505"/>
      <c r="C49" s="505"/>
      <c r="D49" s="505"/>
      <c r="E49" s="505"/>
      <c r="F49" s="505"/>
      <c r="G49" s="505"/>
      <c r="H49" s="505"/>
      <c r="I49" s="505"/>
      <c r="J49" s="505"/>
      <c r="K49" s="505"/>
    </row>
    <row r="50" spans="1:11" ht="12.75">
      <c r="A50" s="505"/>
      <c r="B50" s="505"/>
      <c r="C50" s="505"/>
      <c r="D50" s="505"/>
      <c r="E50" s="505"/>
      <c r="F50" s="505"/>
      <c r="G50" s="505"/>
      <c r="H50" s="505"/>
      <c r="I50" s="505"/>
      <c r="J50" s="505"/>
      <c r="K50" s="505"/>
    </row>
    <row r="51" spans="1:11" ht="12.75">
      <c r="A51" s="505"/>
      <c r="B51" s="505"/>
      <c r="C51" s="505"/>
      <c r="D51" s="505"/>
      <c r="E51" s="505"/>
      <c r="F51" s="505"/>
      <c r="G51" s="505"/>
      <c r="H51" s="505"/>
      <c r="I51" s="505"/>
      <c r="J51" s="505"/>
      <c r="K51" s="505"/>
    </row>
    <row r="52" spans="1:11" ht="12.75">
      <c r="A52" s="505"/>
      <c r="B52" s="505"/>
      <c r="C52" s="505"/>
      <c r="D52" s="505"/>
      <c r="E52" s="505"/>
      <c r="F52" s="505"/>
      <c r="G52" s="505"/>
      <c r="H52" s="505"/>
      <c r="I52" s="505"/>
      <c r="J52" s="505"/>
      <c r="K52" s="505"/>
    </row>
    <row r="53" spans="1:11" ht="12.75">
      <c r="A53" s="505"/>
      <c r="B53" s="505"/>
      <c r="C53" s="505"/>
      <c r="D53" s="505"/>
      <c r="E53" s="505"/>
      <c r="F53" s="505"/>
      <c r="G53" s="505"/>
      <c r="H53" s="505"/>
      <c r="I53" s="505"/>
      <c r="J53" s="505"/>
      <c r="K53" s="505"/>
    </row>
  </sheetData>
  <sheetProtection/>
  <mergeCells count="2">
    <mergeCell ref="B36:D36"/>
    <mergeCell ref="E36:G36"/>
  </mergeCells>
  <printOptions gridLines="1"/>
  <pageMargins left="0.78" right="0.22" top="0.4" bottom="0.43" header="0.4" footer="0.38"/>
  <pageSetup fitToHeight="1" fitToWidth="1" horizontalDpi="600" verticalDpi="600" orientation="portrait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60"/>
  <sheetViews>
    <sheetView zoomScalePageLayoutView="0" workbookViewId="0" topLeftCell="A19">
      <selection activeCell="L104" sqref="L104"/>
    </sheetView>
  </sheetViews>
  <sheetFormatPr defaultColWidth="9.140625" defaultRowHeight="12.75"/>
  <cols>
    <col min="1" max="1" width="21.57421875" style="197" customWidth="1"/>
    <col min="2" max="2" width="10.28125" style="197" customWidth="1"/>
    <col min="3" max="4" width="12.140625" style="197" customWidth="1"/>
    <col min="5" max="5" width="16.57421875" style="197" customWidth="1"/>
    <col min="6" max="6" width="15.00390625" style="197" customWidth="1"/>
    <col min="7" max="8" width="12.8515625" style="197" customWidth="1"/>
    <col min="9" max="9" width="12.57421875" style="197" customWidth="1"/>
    <col min="10" max="10" width="15.57421875" style="197" customWidth="1"/>
    <col min="11" max="11" width="14.140625" style="197" customWidth="1"/>
    <col min="12" max="13" width="13.7109375" style="197" customWidth="1"/>
    <col min="14" max="14" width="14.421875" style="197" customWidth="1"/>
    <col min="15" max="16384" width="9.140625" style="197" customWidth="1"/>
  </cols>
  <sheetData>
    <row r="1" spans="1:11" ht="16.5" customHeight="1">
      <c r="A1" s="226" t="s">
        <v>534</v>
      </c>
      <c r="B1" s="222"/>
      <c r="C1" s="188"/>
      <c r="D1" s="188"/>
      <c r="E1" s="188"/>
      <c r="F1" s="188"/>
      <c r="J1" s="225" t="s">
        <v>366</v>
      </c>
      <c r="K1" s="224" t="s">
        <v>503</v>
      </c>
    </row>
    <row r="2" spans="1:6" ht="15.75">
      <c r="A2" s="223" t="s">
        <v>364</v>
      </c>
      <c r="B2" s="222"/>
      <c r="C2" s="188"/>
      <c r="D2" s="188"/>
      <c r="E2" s="188"/>
      <c r="F2" s="188"/>
    </row>
    <row r="3" spans="1:6" ht="12.75">
      <c r="A3" s="220"/>
      <c r="B3" s="222"/>
      <c r="C3" s="188"/>
      <c r="D3" s="188"/>
      <c r="E3" s="188"/>
      <c r="F3" s="188"/>
    </row>
    <row r="4" spans="1:6" ht="12.75">
      <c r="A4" s="221" t="s">
        <v>382</v>
      </c>
      <c r="B4" s="197">
        <v>1</v>
      </c>
      <c r="C4" s="219" t="s">
        <v>436</v>
      </c>
      <c r="D4" s="219"/>
      <c r="E4" s="188"/>
      <c r="F4" s="188"/>
    </row>
    <row r="5" spans="1:6" ht="12.75">
      <c r="A5" s="220"/>
      <c r="B5" s="197">
        <v>2</v>
      </c>
      <c r="C5" s="219" t="s">
        <v>475</v>
      </c>
      <c r="D5" s="219"/>
      <c r="E5" s="188"/>
      <c r="F5" s="188"/>
    </row>
    <row r="6" spans="1:6" ht="12.75">
      <c r="A6" s="220"/>
      <c r="B6" s="197">
        <v>3</v>
      </c>
      <c r="C6" s="219" t="s">
        <v>439</v>
      </c>
      <c r="D6" s="219"/>
      <c r="E6" s="188"/>
      <c r="F6" s="188"/>
    </row>
    <row r="7" spans="1:6" ht="12.75">
      <c r="A7" s="188"/>
      <c r="B7" s="188"/>
      <c r="C7" s="219"/>
      <c r="D7" s="219"/>
      <c r="E7" s="188"/>
      <c r="F7" s="188"/>
    </row>
    <row r="8" spans="1:6" ht="15">
      <c r="A8" s="188"/>
      <c r="B8" s="188"/>
      <c r="C8" s="188"/>
      <c r="D8" s="188"/>
      <c r="E8" s="227" t="s">
        <v>678</v>
      </c>
      <c r="F8" s="188"/>
    </row>
    <row r="9" spans="1:9" ht="12.75">
      <c r="A9" s="214" t="s">
        <v>502</v>
      </c>
      <c r="C9" s="218"/>
      <c r="D9" s="218"/>
      <c r="E9" s="217"/>
      <c r="F9" s="217"/>
      <c r="G9" s="217"/>
      <c r="H9" s="217"/>
      <c r="I9" s="217"/>
    </row>
    <row r="10" spans="1:12" ht="12.75">
      <c r="A10" s="211" t="s">
        <v>441</v>
      </c>
      <c r="B10" s="211" t="s">
        <v>427</v>
      </c>
      <c r="C10" s="208" t="s">
        <v>664</v>
      </c>
      <c r="D10" s="208" t="s">
        <v>600</v>
      </c>
      <c r="E10" s="208" t="s">
        <v>663</v>
      </c>
      <c r="F10" s="208" t="s">
        <v>662</v>
      </c>
      <c r="G10" s="208" t="s">
        <v>607</v>
      </c>
      <c r="H10" s="208" t="s">
        <v>606</v>
      </c>
      <c r="I10" s="208" t="s">
        <v>397</v>
      </c>
      <c r="J10" s="208" t="s">
        <v>348</v>
      </c>
      <c r="K10" s="208" t="s">
        <v>349</v>
      </c>
      <c r="L10" s="208" t="s">
        <v>421</v>
      </c>
    </row>
    <row r="11" spans="1:12" ht="12.75">
      <c r="A11" s="216" t="s">
        <v>677</v>
      </c>
      <c r="B11" s="206" t="s">
        <v>367</v>
      </c>
      <c r="C11" s="230">
        <v>120.121</v>
      </c>
      <c r="D11" s="230">
        <v>37.591</v>
      </c>
      <c r="E11" s="230">
        <v>60.77</v>
      </c>
      <c r="F11" s="230">
        <v>7.771</v>
      </c>
      <c r="G11" s="230">
        <v>174.052</v>
      </c>
      <c r="H11" s="230">
        <v>87.714</v>
      </c>
      <c r="I11" s="230">
        <v>11.729</v>
      </c>
      <c r="J11" s="230">
        <v>4.662</v>
      </c>
      <c r="K11" s="230">
        <v>32.708</v>
      </c>
      <c r="L11" s="230">
        <f aca="true" t="shared" si="0" ref="L11:L22">SUM(C11:K11)</f>
        <v>537.1179999999999</v>
      </c>
    </row>
    <row r="12" spans="1:12" ht="12.75">
      <c r="A12" s="216" t="s">
        <v>676</v>
      </c>
      <c r="B12" s="206" t="s">
        <v>367</v>
      </c>
      <c r="C12" s="230">
        <v>118.734</v>
      </c>
      <c r="D12" s="230">
        <v>80.175</v>
      </c>
      <c r="E12" s="230">
        <v>80.111</v>
      </c>
      <c r="F12" s="230">
        <v>15.348</v>
      </c>
      <c r="G12" s="230">
        <v>200.55</v>
      </c>
      <c r="H12" s="230">
        <v>82.596</v>
      </c>
      <c r="I12" s="230">
        <v>22.36</v>
      </c>
      <c r="J12" s="230">
        <v>10.845</v>
      </c>
      <c r="K12" s="230">
        <v>64.688</v>
      </c>
      <c r="L12" s="230">
        <f t="shared" si="0"/>
        <v>675.407</v>
      </c>
    </row>
    <row r="13" spans="1:12" ht="12.75">
      <c r="A13" s="216" t="s">
        <v>675</v>
      </c>
      <c r="B13" s="206" t="s">
        <v>367</v>
      </c>
      <c r="C13" s="230">
        <v>114.424</v>
      </c>
      <c r="D13" s="230">
        <v>97.692</v>
      </c>
      <c r="E13" s="230">
        <v>83.513</v>
      </c>
      <c r="F13" s="230">
        <v>21.668</v>
      </c>
      <c r="G13" s="230">
        <v>209.476</v>
      </c>
      <c r="H13" s="230">
        <v>100.638</v>
      </c>
      <c r="I13" s="230">
        <v>38.233</v>
      </c>
      <c r="J13" s="230">
        <v>23.096</v>
      </c>
      <c r="K13" s="230">
        <v>68.637</v>
      </c>
      <c r="L13" s="230">
        <f t="shared" si="0"/>
        <v>757.377</v>
      </c>
    </row>
    <row r="14" spans="1:12" ht="12.75">
      <c r="A14" s="216" t="s">
        <v>674</v>
      </c>
      <c r="B14" s="206" t="s">
        <v>367</v>
      </c>
      <c r="C14" s="230">
        <v>126.005</v>
      </c>
      <c r="D14" s="230">
        <v>79.181</v>
      </c>
      <c r="E14" s="230">
        <v>61.503</v>
      </c>
      <c r="F14" s="230">
        <v>21.361</v>
      </c>
      <c r="G14" s="230">
        <v>209.312</v>
      </c>
      <c r="H14" s="230">
        <v>110.262</v>
      </c>
      <c r="I14" s="230">
        <v>39.673</v>
      </c>
      <c r="J14" s="230">
        <v>30.499</v>
      </c>
      <c r="K14" s="230">
        <v>62.978</v>
      </c>
      <c r="L14" s="230">
        <f t="shared" si="0"/>
        <v>740.774</v>
      </c>
    </row>
    <row r="15" spans="1:12" ht="12.75">
      <c r="A15" s="216" t="s">
        <v>673</v>
      </c>
      <c r="B15" s="206" t="s">
        <v>367</v>
      </c>
      <c r="C15" s="230">
        <v>67.065</v>
      </c>
      <c r="D15" s="230">
        <v>55.112</v>
      </c>
      <c r="E15" s="230">
        <v>28.258</v>
      </c>
      <c r="F15" s="230">
        <v>7.803</v>
      </c>
      <c r="G15" s="230">
        <v>199.254</v>
      </c>
      <c r="H15" s="230">
        <v>115.482</v>
      </c>
      <c r="I15" s="230">
        <v>43.755</v>
      </c>
      <c r="J15" s="230">
        <v>30.264</v>
      </c>
      <c r="K15" s="230">
        <v>75.25</v>
      </c>
      <c r="L15" s="230">
        <f t="shared" si="0"/>
        <v>622.2429999999999</v>
      </c>
    </row>
    <row r="16" spans="1:12" ht="12.75">
      <c r="A16" s="216" t="s">
        <v>672</v>
      </c>
      <c r="B16" s="206" t="s">
        <v>367</v>
      </c>
      <c r="C16" s="230">
        <v>116.5915</v>
      </c>
      <c r="D16" s="230">
        <v>77.288</v>
      </c>
      <c r="E16" s="230">
        <v>60.063</v>
      </c>
      <c r="F16" s="230">
        <v>12.461</v>
      </c>
      <c r="G16" s="230">
        <v>139.596</v>
      </c>
      <c r="H16" s="230">
        <v>121.033</v>
      </c>
      <c r="I16" s="230">
        <v>40.533</v>
      </c>
      <c r="J16" s="230">
        <v>21.788</v>
      </c>
      <c r="K16" s="230">
        <v>61.921</v>
      </c>
      <c r="L16" s="230">
        <f t="shared" si="0"/>
        <v>651.2745000000001</v>
      </c>
    </row>
    <row r="17" spans="1:12" ht="12.75">
      <c r="A17" s="216" t="s">
        <v>671</v>
      </c>
      <c r="B17" s="206" t="s">
        <v>367</v>
      </c>
      <c r="C17" s="230">
        <v>76.754</v>
      </c>
      <c r="D17" s="230">
        <v>60.277</v>
      </c>
      <c r="E17" s="230">
        <v>29.872</v>
      </c>
      <c r="F17" s="230">
        <v>7.617</v>
      </c>
      <c r="G17" s="230">
        <v>86.54</v>
      </c>
      <c r="H17" s="230">
        <v>100.826</v>
      </c>
      <c r="I17" s="230">
        <v>35.901</v>
      </c>
      <c r="J17" s="230">
        <v>18.393</v>
      </c>
      <c r="K17" s="230">
        <v>45.934</v>
      </c>
      <c r="L17" s="230">
        <f t="shared" si="0"/>
        <v>462.1139999999999</v>
      </c>
    </row>
    <row r="18" spans="1:12" ht="12.75">
      <c r="A18" s="216" t="s">
        <v>670</v>
      </c>
      <c r="B18" s="206" t="s">
        <v>367</v>
      </c>
      <c r="C18" s="230">
        <v>47.285</v>
      </c>
      <c r="D18" s="230">
        <v>43.661</v>
      </c>
      <c r="E18" s="230">
        <v>9.105</v>
      </c>
      <c r="F18" s="230">
        <v>2.373</v>
      </c>
      <c r="G18" s="230">
        <v>182.377</v>
      </c>
      <c r="H18" s="230">
        <v>125.889</v>
      </c>
      <c r="I18" s="230">
        <v>17.903</v>
      </c>
      <c r="J18" s="230">
        <v>7.334</v>
      </c>
      <c r="K18" s="230">
        <v>24.271</v>
      </c>
      <c r="L18" s="230">
        <f t="shared" si="0"/>
        <v>460.1980000000001</v>
      </c>
    </row>
    <row r="19" spans="1:12" ht="12.75">
      <c r="A19" s="216" t="s">
        <v>669</v>
      </c>
      <c r="B19" s="206" t="s">
        <v>367</v>
      </c>
      <c r="C19" s="230">
        <v>116.208</v>
      </c>
      <c r="D19" s="230">
        <v>73.729</v>
      </c>
      <c r="E19" s="230">
        <v>63.365</v>
      </c>
      <c r="F19" s="230">
        <v>15.927</v>
      </c>
      <c r="G19" s="230">
        <v>187.162</v>
      </c>
      <c r="H19" s="230">
        <v>128.054</v>
      </c>
      <c r="I19" s="230">
        <v>9.88</v>
      </c>
      <c r="J19" s="230">
        <v>3.119</v>
      </c>
      <c r="K19" s="230">
        <v>10.113</v>
      </c>
      <c r="L19" s="230">
        <f t="shared" si="0"/>
        <v>607.557</v>
      </c>
    </row>
    <row r="20" spans="1:12" ht="12.75">
      <c r="A20" s="216" t="s">
        <v>668</v>
      </c>
      <c r="B20" s="206" t="s">
        <v>367</v>
      </c>
      <c r="C20" s="230">
        <v>115.692</v>
      </c>
      <c r="D20" s="230">
        <v>71.955</v>
      </c>
      <c r="E20" s="230">
        <v>55.076</v>
      </c>
      <c r="F20" s="230">
        <v>14.289</v>
      </c>
      <c r="G20" s="230">
        <v>213.756</v>
      </c>
      <c r="H20" s="230">
        <v>136.304</v>
      </c>
      <c r="I20" s="230">
        <v>6.004</v>
      </c>
      <c r="J20" s="230">
        <v>1.598</v>
      </c>
      <c r="K20" s="230">
        <v>0.804</v>
      </c>
      <c r="L20" s="230">
        <f t="shared" si="0"/>
        <v>615.478</v>
      </c>
    </row>
    <row r="21" spans="1:12" ht="12.75">
      <c r="A21" s="216" t="s">
        <v>667</v>
      </c>
      <c r="B21" s="206" t="s">
        <v>367</v>
      </c>
      <c r="C21" s="230">
        <v>93.134</v>
      </c>
      <c r="D21" s="230">
        <v>59.085</v>
      </c>
      <c r="E21" s="230">
        <v>40.382</v>
      </c>
      <c r="F21" s="230">
        <v>9.151</v>
      </c>
      <c r="G21" s="230">
        <v>199.027</v>
      </c>
      <c r="H21" s="230">
        <v>119.252</v>
      </c>
      <c r="I21" s="230">
        <v>2.792</v>
      </c>
      <c r="J21" s="230">
        <v>0.547</v>
      </c>
      <c r="K21" s="230">
        <v>0</v>
      </c>
      <c r="L21" s="230">
        <f t="shared" si="0"/>
        <v>523.37</v>
      </c>
    </row>
    <row r="22" spans="1:12" ht="12.75">
      <c r="A22" s="216" t="s">
        <v>666</v>
      </c>
      <c r="B22" s="206" t="s">
        <v>367</v>
      </c>
      <c r="C22" s="230">
        <v>91.285</v>
      </c>
      <c r="D22" s="230">
        <v>59.453</v>
      </c>
      <c r="E22" s="230">
        <v>44.126</v>
      </c>
      <c r="F22" s="230">
        <v>11.343</v>
      </c>
      <c r="G22" s="230">
        <v>210.455</v>
      </c>
      <c r="H22" s="230">
        <v>138.223</v>
      </c>
      <c r="I22" s="230">
        <v>4.543</v>
      </c>
      <c r="J22" s="230">
        <v>0.822</v>
      </c>
      <c r="K22" s="230">
        <v>18.06</v>
      </c>
      <c r="L22" s="230">
        <f t="shared" si="0"/>
        <v>578.31</v>
      </c>
    </row>
    <row r="23" spans="1:12" s="214" customFormat="1" ht="12.75">
      <c r="A23" s="215" t="s">
        <v>381</v>
      </c>
      <c r="B23" s="211" t="s">
        <v>367</v>
      </c>
      <c r="C23" s="240">
        <f aca="true" t="shared" si="1" ref="C23:L23">SUM(C11:C22)</f>
        <v>1203.2984999999999</v>
      </c>
      <c r="D23" s="240">
        <f t="shared" si="1"/>
        <v>795.1990000000001</v>
      </c>
      <c r="E23" s="240">
        <f t="shared" si="1"/>
        <v>616.1439999999999</v>
      </c>
      <c r="F23" s="240">
        <f t="shared" si="1"/>
        <v>147.112</v>
      </c>
      <c r="G23" s="240">
        <f t="shared" si="1"/>
        <v>2211.5570000000002</v>
      </c>
      <c r="H23" s="240">
        <f t="shared" si="1"/>
        <v>1366.273</v>
      </c>
      <c r="I23" s="240">
        <f t="shared" si="1"/>
        <v>273.30600000000004</v>
      </c>
      <c r="J23" s="240">
        <f t="shared" si="1"/>
        <v>152.967</v>
      </c>
      <c r="K23" s="240">
        <f t="shared" si="1"/>
        <v>465.364</v>
      </c>
      <c r="L23" s="240">
        <f t="shared" si="1"/>
        <v>7231.220499999999</v>
      </c>
    </row>
    <row r="24" spans="1:11" ht="12.75">
      <c r="A24" s="210"/>
      <c r="K24" s="198"/>
    </row>
    <row r="25" ht="12.75">
      <c r="A25" s="214"/>
    </row>
    <row r="26" ht="12.75">
      <c r="A26" s="214" t="s">
        <v>448</v>
      </c>
    </row>
    <row r="27" spans="1:13" s="239" customFormat="1" ht="27.75" customHeight="1">
      <c r="A27" s="213" t="s">
        <v>441</v>
      </c>
      <c r="B27" s="213" t="s">
        <v>427</v>
      </c>
      <c r="C27" s="208" t="s">
        <v>664</v>
      </c>
      <c r="D27" s="208" t="s">
        <v>600</v>
      </c>
      <c r="E27" s="208" t="s">
        <v>663</v>
      </c>
      <c r="F27" s="208" t="s">
        <v>662</v>
      </c>
      <c r="G27" s="208" t="s">
        <v>607</v>
      </c>
      <c r="H27" s="208" t="s">
        <v>606</v>
      </c>
      <c r="I27" s="208" t="s">
        <v>397</v>
      </c>
      <c r="J27" s="208" t="s">
        <v>348</v>
      </c>
      <c r="K27" s="208" t="s">
        <v>349</v>
      </c>
      <c r="L27" s="208" t="s">
        <v>421</v>
      </c>
      <c r="M27" s="213" t="s">
        <v>661</v>
      </c>
    </row>
    <row r="28" spans="1:13" ht="12.75">
      <c r="A28" s="216" t="s">
        <v>677</v>
      </c>
      <c r="B28" s="184" t="s">
        <v>367</v>
      </c>
      <c r="C28" s="230">
        <f>C11*2.3%</f>
        <v>2.7627829999999998</v>
      </c>
      <c r="D28" s="230">
        <f>D11*2.3%</f>
        <v>0.8645930000000001</v>
      </c>
      <c r="E28" s="230">
        <f>E11*2.6%</f>
        <v>1.5800200000000002</v>
      </c>
      <c r="F28" s="230">
        <f>F11*2.6%</f>
        <v>0.202046</v>
      </c>
      <c r="G28" s="230">
        <f>G11*2.3%</f>
        <v>4.003196</v>
      </c>
      <c r="H28" s="230">
        <f>H11*3.63%</f>
        <v>3.1840181999999997</v>
      </c>
      <c r="I28" s="230">
        <f>I11*2.3%</f>
        <v>0.269767</v>
      </c>
      <c r="J28" s="230">
        <f>J11*2.3%</f>
        <v>0.107226</v>
      </c>
      <c r="K28" s="230">
        <f>K11*2.3%</f>
        <v>0.752284</v>
      </c>
      <c r="L28" s="230">
        <f aca="true" t="shared" si="2" ref="L28:L39">SUM(C28:K28)</f>
        <v>13.725933200000002</v>
      </c>
      <c r="M28" s="206">
        <v>2.53</v>
      </c>
    </row>
    <row r="29" spans="1:13" ht="12.75">
      <c r="A29" s="216" t="s">
        <v>676</v>
      </c>
      <c r="B29" s="206" t="s">
        <v>367</v>
      </c>
      <c r="C29" s="230">
        <f>C12*2.27%</f>
        <v>2.6952618</v>
      </c>
      <c r="D29" s="230">
        <f>D12*2.27%</f>
        <v>1.8199725</v>
      </c>
      <c r="E29" s="230">
        <f>E12*2.79%</f>
        <v>2.2350969000000003</v>
      </c>
      <c r="F29" s="230">
        <f>F12*2.79%</f>
        <v>0.4282092</v>
      </c>
      <c r="G29" s="230">
        <f>G12*2.27%</f>
        <v>4.552485000000001</v>
      </c>
      <c r="H29" s="230">
        <f>H12*3.59%</f>
        <v>2.9651964000000004</v>
      </c>
      <c r="I29" s="230">
        <f>I12*2.27%</f>
        <v>0.507572</v>
      </c>
      <c r="J29" s="230">
        <f>J12*2.27%</f>
        <v>0.24618150000000003</v>
      </c>
      <c r="K29" s="230">
        <f>K12*2.27%</f>
        <v>1.4684176000000002</v>
      </c>
      <c r="L29" s="230">
        <f t="shared" si="2"/>
        <v>16.9183929</v>
      </c>
      <c r="M29" s="206">
        <v>2.54</v>
      </c>
    </row>
    <row r="30" spans="1:13" ht="12.75">
      <c r="A30" s="216" t="s">
        <v>675</v>
      </c>
      <c r="B30" s="206" t="s">
        <v>367</v>
      </c>
      <c r="C30" s="230">
        <f>C13*2.32%</f>
        <v>2.6546368</v>
      </c>
      <c r="D30" s="230">
        <f>D13*2.32%</f>
        <v>2.2664543999999998</v>
      </c>
      <c r="E30" s="230">
        <f>E13*2.62%</f>
        <v>2.1880406000000003</v>
      </c>
      <c r="F30" s="230">
        <f>F13*2.62%</f>
        <v>0.5677016</v>
      </c>
      <c r="G30" s="230">
        <f>G13*2.32%</f>
        <v>4.859843199999999</v>
      </c>
      <c r="H30" s="230">
        <f>H13*3.43%</f>
        <v>3.4518834000000007</v>
      </c>
      <c r="I30" s="230">
        <f>I13*2.32%</f>
        <v>0.8870055999999998</v>
      </c>
      <c r="J30" s="230">
        <f>J13*2.32%</f>
        <v>0.5358272</v>
      </c>
      <c r="K30" s="230">
        <f>K13*2.32%</f>
        <v>1.5923783999999999</v>
      </c>
      <c r="L30" s="230">
        <f t="shared" si="2"/>
        <v>19.0037712</v>
      </c>
      <c r="M30" s="206">
        <v>2.52</v>
      </c>
    </row>
    <row r="31" spans="1:13" ht="12.75">
      <c r="A31" s="216" t="s">
        <v>674</v>
      </c>
      <c r="B31" s="206" t="s">
        <v>367</v>
      </c>
      <c r="C31" s="230">
        <f>C14*2.32%</f>
        <v>2.923316</v>
      </c>
      <c r="D31" s="230">
        <f>D14*2.32%</f>
        <v>1.8369991999999997</v>
      </c>
      <c r="E31" s="230">
        <f>E14*2.32%</f>
        <v>1.4268695999999998</v>
      </c>
      <c r="F31" s="230">
        <f>F14*2.32%</f>
        <v>0.4955752</v>
      </c>
      <c r="G31" s="230">
        <f>G14*2.32%</f>
        <v>4.8560384</v>
      </c>
      <c r="H31" s="230">
        <f>H14*3.14%</f>
        <v>3.4622268000000003</v>
      </c>
      <c r="I31" s="230">
        <f>I14*2.32%</f>
        <v>0.9204135999999999</v>
      </c>
      <c r="J31" s="230">
        <f>J14*2.32%</f>
        <v>0.7075767999999999</v>
      </c>
      <c r="K31" s="230">
        <f>K14*2.62%</f>
        <v>1.6500236000000001</v>
      </c>
      <c r="L31" s="230">
        <f t="shared" si="2"/>
        <v>18.2790392</v>
      </c>
      <c r="M31" s="206">
        <v>2.48</v>
      </c>
    </row>
    <row r="32" spans="1:13" ht="12.75">
      <c r="A32" s="216" t="s">
        <v>673</v>
      </c>
      <c r="B32" s="206" t="s">
        <v>367</v>
      </c>
      <c r="C32" s="230">
        <f>C15*2.45%</f>
        <v>1.6430925</v>
      </c>
      <c r="D32" s="230">
        <f>D15*2.45%</f>
        <v>1.350244</v>
      </c>
      <c r="E32" s="230">
        <f>E15*2.45%</f>
        <v>0.692321</v>
      </c>
      <c r="F32" s="230">
        <f>F15*2.45%</f>
        <v>0.1911735</v>
      </c>
      <c r="G32" s="230">
        <f>G15*2.45%</f>
        <v>4.881723</v>
      </c>
      <c r="H32" s="230">
        <f>H15*3.2%</f>
        <v>3.695424</v>
      </c>
      <c r="I32" s="230">
        <f>I15*2.45%</f>
        <v>1.0719975000000002</v>
      </c>
      <c r="J32" s="230">
        <f>J15*2.45%</f>
        <v>0.741468</v>
      </c>
      <c r="K32" s="230">
        <f>K15*2.75%</f>
        <v>2.069375</v>
      </c>
      <c r="L32" s="230">
        <f t="shared" si="2"/>
        <v>16.3368185</v>
      </c>
      <c r="M32" s="206">
        <v>2.6</v>
      </c>
    </row>
    <row r="33" spans="1:13" ht="12.75">
      <c r="A33" s="216" t="s">
        <v>672</v>
      </c>
      <c r="B33" s="206" t="s">
        <v>367</v>
      </c>
      <c r="C33" s="230">
        <f>C16*2.13%</f>
        <v>2.4833989499999998</v>
      </c>
      <c r="D33" s="230">
        <f>D16*2.13%</f>
        <v>1.6462344</v>
      </c>
      <c r="E33" s="230">
        <f>E16*2.13%</f>
        <v>1.2793419</v>
      </c>
      <c r="F33" s="230">
        <f>F16*2.13%</f>
        <v>0.2654193</v>
      </c>
      <c r="G33" s="230">
        <f>G16*2.13%</f>
        <v>2.9733948</v>
      </c>
      <c r="H33" s="230">
        <f>H16*3.14%</f>
        <v>3.8004362000000005</v>
      </c>
      <c r="I33" s="230">
        <f>I16*2.13%</f>
        <v>0.8633529</v>
      </c>
      <c r="J33" s="230">
        <f>J16*2.13%</f>
        <v>0.4640844</v>
      </c>
      <c r="K33" s="230">
        <f>K16*2.43%</f>
        <v>1.5046803000000002</v>
      </c>
      <c r="L33" s="230">
        <f t="shared" si="2"/>
        <v>15.28034315</v>
      </c>
      <c r="M33" s="206">
        <v>2.31</v>
      </c>
    </row>
    <row r="34" spans="1:13" ht="12.75">
      <c r="A34" s="216" t="s">
        <v>671</v>
      </c>
      <c r="B34" s="206" t="s">
        <v>367</v>
      </c>
      <c r="C34" s="230">
        <v>1.992</v>
      </c>
      <c r="D34" s="230">
        <v>1.565</v>
      </c>
      <c r="E34" s="230">
        <v>0.775</v>
      </c>
      <c r="F34" s="230">
        <v>0.198</v>
      </c>
      <c r="G34" s="230">
        <v>2.246</v>
      </c>
      <c r="H34" s="230">
        <v>2.62</v>
      </c>
      <c r="I34" s="230">
        <v>0.932</v>
      </c>
      <c r="J34" s="230">
        <v>0.477</v>
      </c>
      <c r="K34" s="230">
        <v>1.192</v>
      </c>
      <c r="L34" s="230">
        <f t="shared" si="2"/>
        <v>11.997000000000002</v>
      </c>
      <c r="M34" s="206">
        <v>2.27</v>
      </c>
    </row>
    <row r="35" spans="1:13" ht="12.75">
      <c r="A35" s="216" t="s">
        <v>670</v>
      </c>
      <c r="B35" s="206" t="s">
        <v>367</v>
      </c>
      <c r="C35" s="230">
        <v>1.252</v>
      </c>
      <c r="D35" s="230">
        <v>1.156</v>
      </c>
      <c r="E35" s="230">
        <v>0.241</v>
      </c>
      <c r="F35" s="230">
        <v>0.063</v>
      </c>
      <c r="G35" s="230">
        <v>4.83</v>
      </c>
      <c r="H35" s="230">
        <v>3.334</v>
      </c>
      <c r="I35" s="230">
        <v>0.474</v>
      </c>
      <c r="J35" s="230">
        <v>0.194</v>
      </c>
      <c r="K35" s="230">
        <v>0.643</v>
      </c>
      <c r="L35" s="230">
        <f t="shared" si="2"/>
        <v>12.187000000000001</v>
      </c>
      <c r="M35" s="206">
        <v>2.29</v>
      </c>
    </row>
    <row r="36" spans="1:13" ht="12.75">
      <c r="A36" s="216" t="s">
        <v>669</v>
      </c>
      <c r="B36" s="206" t="s">
        <v>367</v>
      </c>
      <c r="C36" s="230">
        <v>3.049</v>
      </c>
      <c r="D36" s="230">
        <v>2.163</v>
      </c>
      <c r="E36" s="230">
        <v>1.859</v>
      </c>
      <c r="F36" s="230">
        <v>0.467</v>
      </c>
      <c r="G36" s="230">
        <v>5.491</v>
      </c>
      <c r="H36" s="230">
        <v>3.757</v>
      </c>
      <c r="I36" s="230">
        <v>0.29</v>
      </c>
      <c r="J36" s="230">
        <v>0.092</v>
      </c>
      <c r="K36" s="230">
        <v>0.297</v>
      </c>
      <c r="L36" s="230">
        <f t="shared" si="2"/>
        <v>17.465</v>
      </c>
      <c r="M36" s="206">
        <v>2.53</v>
      </c>
    </row>
    <row r="37" spans="1:13" ht="12.75">
      <c r="A37" s="216" t="s">
        <v>668</v>
      </c>
      <c r="B37" s="206" t="s">
        <v>367</v>
      </c>
      <c r="C37" s="230">
        <v>3.886</v>
      </c>
      <c r="D37" s="230">
        <v>2.417</v>
      </c>
      <c r="E37" s="230">
        <v>1.85</v>
      </c>
      <c r="F37" s="230">
        <v>0.48</v>
      </c>
      <c r="G37" s="230">
        <v>7.18</v>
      </c>
      <c r="H37" s="230">
        <v>4.579</v>
      </c>
      <c r="I37" s="230">
        <v>0.202</v>
      </c>
      <c r="J37" s="230">
        <v>0.054</v>
      </c>
      <c r="K37" s="230">
        <v>0.027</v>
      </c>
      <c r="L37" s="230">
        <f t="shared" si="2"/>
        <v>20.675</v>
      </c>
      <c r="M37" s="206">
        <v>2.94</v>
      </c>
    </row>
    <row r="38" spans="1:13" ht="12.75">
      <c r="A38" s="216" t="s">
        <v>667</v>
      </c>
      <c r="B38" s="206" t="s">
        <v>367</v>
      </c>
      <c r="C38" s="230">
        <v>2.871</v>
      </c>
      <c r="D38" s="230">
        <v>1.821</v>
      </c>
      <c r="E38" s="230">
        <v>1.245</v>
      </c>
      <c r="F38" s="230">
        <v>0.282</v>
      </c>
      <c r="G38" s="230">
        <v>6.134</v>
      </c>
      <c r="H38" s="230">
        <v>3.676</v>
      </c>
      <c r="I38" s="230">
        <v>0.086</v>
      </c>
      <c r="J38" s="230">
        <v>0.017</v>
      </c>
      <c r="K38" s="230">
        <v>0</v>
      </c>
      <c r="L38" s="230">
        <f t="shared" si="2"/>
        <v>16.132</v>
      </c>
      <c r="M38" s="206">
        <v>2.69</v>
      </c>
    </row>
    <row r="39" spans="1:13" ht="12.75">
      <c r="A39" s="216" t="s">
        <v>666</v>
      </c>
      <c r="B39" s="206" t="s">
        <v>367</v>
      </c>
      <c r="C39" s="230">
        <v>2.475</v>
      </c>
      <c r="D39" s="230">
        <v>1.612</v>
      </c>
      <c r="E39" s="230">
        <v>1.197</v>
      </c>
      <c r="F39" s="230">
        <v>0.308</v>
      </c>
      <c r="G39" s="230">
        <v>5.707</v>
      </c>
      <c r="H39" s="230">
        <v>3.748</v>
      </c>
      <c r="I39" s="230">
        <v>0.123</v>
      </c>
      <c r="J39" s="230">
        <v>0.022</v>
      </c>
      <c r="K39" s="230">
        <v>0.49</v>
      </c>
      <c r="L39" s="230">
        <f t="shared" si="2"/>
        <v>15.682</v>
      </c>
      <c r="M39" s="206">
        <v>2.4</v>
      </c>
    </row>
    <row r="40" spans="1:13" ht="12.75">
      <c r="A40" s="212" t="s">
        <v>381</v>
      </c>
      <c r="B40" s="206" t="s">
        <v>367</v>
      </c>
      <c r="C40" s="230">
        <f aca="true" t="shared" si="3" ref="C40:L40">SUM(C28:C39)</f>
        <v>30.687489049999996</v>
      </c>
      <c r="D40" s="230">
        <f t="shared" si="3"/>
        <v>20.518497500000002</v>
      </c>
      <c r="E40" s="230">
        <f t="shared" si="3"/>
        <v>16.56869</v>
      </c>
      <c r="F40" s="230">
        <f t="shared" si="3"/>
        <v>3.9481248</v>
      </c>
      <c r="G40" s="230">
        <f t="shared" si="3"/>
        <v>57.7146804</v>
      </c>
      <c r="H40" s="230">
        <f t="shared" si="3"/>
        <v>42.273185</v>
      </c>
      <c r="I40" s="230">
        <f t="shared" si="3"/>
        <v>6.627108600000001</v>
      </c>
      <c r="J40" s="230">
        <f t="shared" si="3"/>
        <v>3.658363899999999</v>
      </c>
      <c r="K40" s="230">
        <f t="shared" si="3"/>
        <v>11.6861589</v>
      </c>
      <c r="L40" s="230">
        <f t="shared" si="3"/>
        <v>193.68229815</v>
      </c>
      <c r="M40" s="206"/>
    </row>
    <row r="41" spans="1:13" ht="12.75">
      <c r="A41" s="211" t="s">
        <v>665</v>
      </c>
      <c r="B41" s="211" t="s">
        <v>372</v>
      </c>
      <c r="C41" s="230">
        <f>(2.3+2.27+2.32+2.32+2.45+2.13+2.11+2.05+2.29+2.74+2.37+2.24)/12</f>
        <v>2.2991666666666664</v>
      </c>
      <c r="D41" s="230">
        <f>(2.3+2.27+2.32+2.32+2.45+2.13+2.11+2.05+2.29+2.74+2.37+2.24)/12</f>
        <v>2.2991666666666664</v>
      </c>
      <c r="E41" s="230">
        <f>(2.6+2.79+2.62+2.32+2.45+2.13+2.11+2.05+2.29+2.99+2.67+2.54)/12</f>
        <v>2.4633333333333334</v>
      </c>
      <c r="F41" s="230">
        <f>(2.6+2.79+2.62+2.32+2.45+2.13+2.11+2.05+2.29+2.99+2.67+2.54)/12</f>
        <v>2.4633333333333334</v>
      </c>
      <c r="G41" s="230">
        <f>(2.3+2.27+2.32+2.32+2.45+2.13+2.35+2.25+2.59+2.79+2.37+2.24)/12</f>
        <v>2.365</v>
      </c>
      <c r="H41" s="230">
        <f>(3.63+3.59+3.43+3.14+3.2+3.14+2.93+3.44+3.68+3.84+4.3+3.04)/12</f>
        <v>3.4466666666666668</v>
      </c>
      <c r="I41" s="230">
        <f>(2.3+2.27+2.32+2.32+2.45+2.13+2.11+2.05+2.29+2.74+2.37+2.24)/12</f>
        <v>2.2991666666666664</v>
      </c>
      <c r="J41" s="230">
        <f>(2.3+2.27+2.32+2.32+2.45+2.13+2.11+2.05+2.29+2.74+2.37+2.24)/12</f>
        <v>2.2991666666666664</v>
      </c>
      <c r="K41" s="230">
        <f>(2.3+2.27+2.32+2.62+2.75+2.43+2.17+2.05+2.29+2.74+2.37+2.24)/12</f>
        <v>2.3791666666666664</v>
      </c>
      <c r="L41" s="230">
        <f>(C41+D41+E41+F41+G41+H41+I41+J41+K41)/9</f>
        <v>2.479351851851851</v>
      </c>
      <c r="M41" s="238">
        <f>AVERAGE(M28:M39)</f>
        <v>2.5083333333333333</v>
      </c>
    </row>
    <row r="42" ht="12.75">
      <c r="A42" s="210"/>
    </row>
    <row r="44" spans="1:10" ht="12.75">
      <c r="A44" s="203" t="s">
        <v>483</v>
      </c>
      <c r="B44" s="200"/>
      <c r="C44" s="199"/>
      <c r="D44" s="199"/>
      <c r="E44" s="199"/>
      <c r="F44" s="199"/>
      <c r="G44" s="199"/>
      <c r="H44" s="199"/>
      <c r="I44" s="199"/>
      <c r="J44" s="199"/>
    </row>
    <row r="45" spans="1:12" ht="25.5">
      <c r="A45" s="209"/>
      <c r="B45" s="208" t="s">
        <v>664</v>
      </c>
      <c r="C45" s="208" t="s">
        <v>600</v>
      </c>
      <c r="D45" s="208" t="s">
        <v>663</v>
      </c>
      <c r="E45" s="208" t="s">
        <v>662</v>
      </c>
      <c r="F45" s="208" t="s">
        <v>607</v>
      </c>
      <c r="G45" s="208" t="s">
        <v>606</v>
      </c>
      <c r="H45" s="208" t="s">
        <v>397</v>
      </c>
      <c r="I45" s="208" t="s">
        <v>348</v>
      </c>
      <c r="J45" s="208" t="s">
        <v>349</v>
      </c>
      <c r="K45" s="208" t="s">
        <v>421</v>
      </c>
      <c r="L45" s="213" t="s">
        <v>661</v>
      </c>
    </row>
    <row r="46" spans="1:12" ht="12.75">
      <c r="A46" s="207" t="s">
        <v>484</v>
      </c>
      <c r="B46" s="150">
        <f aca="true" t="shared" si="4" ref="B46:J46">C23</f>
        <v>1203.2984999999999</v>
      </c>
      <c r="C46" s="150">
        <f t="shared" si="4"/>
        <v>795.1990000000001</v>
      </c>
      <c r="D46" s="150">
        <f t="shared" si="4"/>
        <v>616.1439999999999</v>
      </c>
      <c r="E46" s="150">
        <f t="shared" si="4"/>
        <v>147.112</v>
      </c>
      <c r="F46" s="150">
        <f t="shared" si="4"/>
        <v>2211.5570000000002</v>
      </c>
      <c r="G46" s="150">
        <f t="shared" si="4"/>
        <v>1366.273</v>
      </c>
      <c r="H46" s="150">
        <f t="shared" si="4"/>
        <v>273.30600000000004</v>
      </c>
      <c r="I46" s="150">
        <f t="shared" si="4"/>
        <v>152.967</v>
      </c>
      <c r="J46" s="150">
        <f t="shared" si="4"/>
        <v>465.364</v>
      </c>
      <c r="K46" s="150">
        <f>SUM(B46:J46)</f>
        <v>7231.2204999999985</v>
      </c>
      <c r="L46" s="206"/>
    </row>
    <row r="47" spans="1:12" ht="12.75">
      <c r="A47" s="207" t="s">
        <v>485</v>
      </c>
      <c r="B47" s="150">
        <f aca="true" t="shared" si="5" ref="B47:J47">C40</f>
        <v>30.687489049999996</v>
      </c>
      <c r="C47" s="150">
        <f t="shared" si="5"/>
        <v>20.518497500000002</v>
      </c>
      <c r="D47" s="150">
        <f t="shared" si="5"/>
        <v>16.56869</v>
      </c>
      <c r="E47" s="150">
        <f t="shared" si="5"/>
        <v>3.9481248</v>
      </c>
      <c r="F47" s="150">
        <f t="shared" si="5"/>
        <v>57.7146804</v>
      </c>
      <c r="G47" s="150">
        <f t="shared" si="5"/>
        <v>42.273185</v>
      </c>
      <c r="H47" s="150">
        <f t="shared" si="5"/>
        <v>6.627108600000001</v>
      </c>
      <c r="I47" s="150">
        <f t="shared" si="5"/>
        <v>3.658363899999999</v>
      </c>
      <c r="J47" s="150">
        <f t="shared" si="5"/>
        <v>11.6861589</v>
      </c>
      <c r="K47" s="150">
        <f>SUM(B47:J47)</f>
        <v>193.68229815</v>
      </c>
      <c r="L47" s="206"/>
    </row>
    <row r="48" spans="1:12" ht="25.5">
      <c r="A48" s="207" t="s">
        <v>486</v>
      </c>
      <c r="B48" s="150">
        <f aca="true" t="shared" si="6" ref="B48:K48">B46-B47</f>
        <v>1172.6110109499998</v>
      </c>
      <c r="C48" s="150">
        <f t="shared" si="6"/>
        <v>774.6805025000001</v>
      </c>
      <c r="D48" s="150">
        <f t="shared" si="6"/>
        <v>599.57531</v>
      </c>
      <c r="E48" s="150">
        <f t="shared" si="6"/>
        <v>143.1638752</v>
      </c>
      <c r="F48" s="150">
        <f t="shared" si="6"/>
        <v>2153.8423196000003</v>
      </c>
      <c r="G48" s="150">
        <f t="shared" si="6"/>
        <v>1323.999815</v>
      </c>
      <c r="H48" s="150">
        <f t="shared" si="6"/>
        <v>266.67889140000005</v>
      </c>
      <c r="I48" s="150">
        <f t="shared" si="6"/>
        <v>149.3086361</v>
      </c>
      <c r="J48" s="150">
        <f t="shared" si="6"/>
        <v>453.67784109999997</v>
      </c>
      <c r="K48" s="150">
        <f t="shared" si="6"/>
        <v>7037.538201849999</v>
      </c>
      <c r="L48" s="206"/>
    </row>
    <row r="49" spans="1:12" ht="12.75">
      <c r="A49" s="209" t="s">
        <v>487</v>
      </c>
      <c r="B49" s="150">
        <f aca="true" t="shared" si="7" ref="B49:K49">(B47/B46)*100</f>
        <v>2.5502806701745246</v>
      </c>
      <c r="C49" s="150">
        <f t="shared" si="7"/>
        <v>2.580297196047782</v>
      </c>
      <c r="D49" s="150">
        <f t="shared" si="7"/>
        <v>2.6890937832714434</v>
      </c>
      <c r="E49" s="150">
        <f t="shared" si="7"/>
        <v>2.6837544184023057</v>
      </c>
      <c r="F49" s="150">
        <f t="shared" si="7"/>
        <v>2.609685411680549</v>
      </c>
      <c r="G49" s="150">
        <f t="shared" si="7"/>
        <v>3.0940511156994246</v>
      </c>
      <c r="H49" s="150">
        <f t="shared" si="7"/>
        <v>2.424794406269895</v>
      </c>
      <c r="I49" s="150">
        <f t="shared" si="7"/>
        <v>2.3916033523570435</v>
      </c>
      <c r="J49" s="150">
        <f t="shared" si="7"/>
        <v>2.5111867054606716</v>
      </c>
      <c r="K49" s="150">
        <f t="shared" si="7"/>
        <v>2.6784178154987814</v>
      </c>
      <c r="L49" s="228">
        <f>AVERAGE(B49:J49)</f>
        <v>2.6149718954848495</v>
      </c>
    </row>
    <row r="50" spans="1:12" ht="12.75">
      <c r="A50" s="203"/>
      <c r="B50" s="200"/>
      <c r="C50" s="199"/>
      <c r="D50" s="199"/>
      <c r="E50" s="199"/>
      <c r="F50" s="199"/>
      <c r="G50" s="199"/>
      <c r="H50" s="199"/>
      <c r="I50" s="202"/>
      <c r="J50" s="199"/>
      <c r="K50" s="198"/>
      <c r="L50" s="198"/>
    </row>
    <row r="51" spans="1:12" ht="12.75">
      <c r="A51" s="201"/>
      <c r="B51" s="200"/>
      <c r="C51" s="199"/>
      <c r="D51" s="199"/>
      <c r="E51" s="199"/>
      <c r="F51" s="199"/>
      <c r="G51" s="199"/>
      <c r="H51" s="199"/>
      <c r="I51" s="199"/>
      <c r="J51" s="199"/>
      <c r="K51" s="198"/>
      <c r="L51" s="198"/>
    </row>
    <row r="52" spans="1:12" ht="12.75">
      <c r="A52" s="237"/>
      <c r="B52" s="200"/>
      <c r="C52" s="199"/>
      <c r="D52" s="199"/>
      <c r="E52" s="199"/>
      <c r="F52" s="199"/>
      <c r="G52" s="199"/>
      <c r="H52" s="199"/>
      <c r="I52" s="199"/>
      <c r="J52" s="199"/>
      <c r="K52" s="198"/>
      <c r="L52" s="198"/>
    </row>
    <row r="53" spans="1:12" ht="12.75">
      <c r="A53" s="233"/>
      <c r="B53" s="232"/>
      <c r="C53" s="232"/>
      <c r="D53" s="232"/>
      <c r="E53" s="232"/>
      <c r="F53" s="232"/>
      <c r="G53" s="232"/>
      <c r="H53" s="232"/>
      <c r="I53" s="236"/>
      <c r="J53" s="232"/>
      <c r="K53" s="198"/>
      <c r="L53" s="198"/>
    </row>
    <row r="54" spans="1:12" ht="12.75">
      <c r="A54" s="198"/>
      <c r="B54" s="235"/>
      <c r="C54" s="234"/>
      <c r="D54" s="234"/>
      <c r="E54" s="234"/>
      <c r="F54" s="234"/>
      <c r="G54" s="234"/>
      <c r="H54" s="234"/>
      <c r="I54" s="234"/>
      <c r="J54" s="231"/>
      <c r="K54" s="198"/>
      <c r="L54" s="198"/>
    </row>
    <row r="55" spans="1:12" ht="12.75">
      <c r="A55" s="233"/>
      <c r="B55" s="232"/>
      <c r="C55" s="232"/>
      <c r="D55" s="232"/>
      <c r="E55" s="232"/>
      <c r="F55" s="232"/>
      <c r="G55" s="232"/>
      <c r="H55" s="232"/>
      <c r="I55" s="232"/>
      <c r="J55" s="231"/>
      <c r="K55" s="198"/>
      <c r="L55" s="198"/>
    </row>
    <row r="56" spans="1:11" ht="12.75">
      <c r="A56" s="226" t="s">
        <v>534</v>
      </c>
      <c r="B56" s="222"/>
      <c r="C56" s="188"/>
      <c r="D56" s="188"/>
      <c r="E56" s="188"/>
      <c r="F56" s="188"/>
      <c r="J56" s="225" t="s">
        <v>366</v>
      </c>
      <c r="K56" s="224" t="s">
        <v>503</v>
      </c>
    </row>
    <row r="57" spans="1:6" ht="15.75">
      <c r="A57" s="223" t="s">
        <v>364</v>
      </c>
      <c r="B57" s="222"/>
      <c r="C57" s="188"/>
      <c r="D57" s="188"/>
      <c r="E57" s="188"/>
      <c r="F57" s="188"/>
    </row>
    <row r="58" spans="1:6" ht="12.75">
      <c r="A58" s="220"/>
      <c r="B58" s="222"/>
      <c r="C58" s="188"/>
      <c r="D58" s="188"/>
      <c r="E58" s="188"/>
      <c r="F58" s="188"/>
    </row>
    <row r="59" spans="1:6" ht="12.75">
      <c r="A59" s="221" t="s">
        <v>382</v>
      </c>
      <c r="B59" s="197">
        <v>1</v>
      </c>
      <c r="C59" s="219" t="s">
        <v>436</v>
      </c>
      <c r="D59" s="219"/>
      <c r="E59" s="188"/>
      <c r="F59" s="188"/>
    </row>
    <row r="60" spans="1:6" ht="12.75">
      <c r="A60" s="220"/>
      <c r="B60" s="197">
        <v>2</v>
      </c>
      <c r="C60" s="219" t="s">
        <v>475</v>
      </c>
      <c r="D60" s="219"/>
      <c r="E60" s="188"/>
      <c r="F60" s="188"/>
    </row>
    <row r="61" spans="1:6" ht="12.75">
      <c r="A61" s="220"/>
      <c r="B61" s="197">
        <v>3</v>
      </c>
      <c r="C61" s="219" t="s">
        <v>439</v>
      </c>
      <c r="D61" s="219"/>
      <c r="E61" s="188"/>
      <c r="F61" s="188"/>
    </row>
    <row r="62" spans="1:6" ht="12.75">
      <c r="A62" s="188"/>
      <c r="B62" s="188"/>
      <c r="C62" s="219"/>
      <c r="D62" s="219"/>
      <c r="E62" s="188"/>
      <c r="F62" s="188"/>
    </row>
    <row r="63" spans="1:6" ht="15">
      <c r="A63" s="188"/>
      <c r="B63" s="188"/>
      <c r="C63" s="188"/>
      <c r="D63" s="188"/>
      <c r="E63" s="227" t="s">
        <v>659</v>
      </c>
      <c r="F63" s="188"/>
    </row>
    <row r="64" spans="1:9" ht="12.75">
      <c r="A64" s="214" t="s">
        <v>502</v>
      </c>
      <c r="C64" s="218"/>
      <c r="D64" s="218"/>
      <c r="E64" s="217"/>
      <c r="F64" s="217"/>
      <c r="G64" s="217"/>
      <c r="H64" s="217"/>
      <c r="I64" s="217"/>
    </row>
    <row r="65" spans="1:13" ht="12.75">
      <c r="A65" s="211" t="s">
        <v>441</v>
      </c>
      <c r="B65" s="211" t="s">
        <v>427</v>
      </c>
      <c r="C65" s="208" t="s">
        <v>664</v>
      </c>
      <c r="D65" s="208" t="s">
        <v>600</v>
      </c>
      <c r="E65" s="208" t="s">
        <v>663</v>
      </c>
      <c r="F65" s="208" t="s">
        <v>662</v>
      </c>
      <c r="G65" s="208" t="s">
        <v>607</v>
      </c>
      <c r="H65" s="208" t="s">
        <v>606</v>
      </c>
      <c r="I65" s="208" t="s">
        <v>397</v>
      </c>
      <c r="J65" s="208" t="s">
        <v>348</v>
      </c>
      <c r="K65" s="208" t="s">
        <v>349</v>
      </c>
      <c r="L65" s="208" t="s">
        <v>763</v>
      </c>
      <c r="M65" s="208" t="s">
        <v>421</v>
      </c>
    </row>
    <row r="66" spans="1:13" ht="12.75">
      <c r="A66" s="216" t="s">
        <v>723</v>
      </c>
      <c r="B66" s="206" t="s">
        <v>367</v>
      </c>
      <c r="C66" s="206">
        <v>127.123</v>
      </c>
      <c r="D66" s="206">
        <v>30.641</v>
      </c>
      <c r="E66" s="206">
        <v>78.344</v>
      </c>
      <c r="F66" s="206">
        <v>21.202</v>
      </c>
      <c r="G66" s="206">
        <v>197.409</v>
      </c>
      <c r="H66" s="206">
        <v>129.757</v>
      </c>
      <c r="I66" s="206">
        <v>6.147</v>
      </c>
      <c r="J66" s="206">
        <v>0.889</v>
      </c>
      <c r="K66" s="533">
        <v>29.99</v>
      </c>
      <c r="L66" s="206"/>
      <c r="M66" s="206">
        <f aca="true" t="shared" si="8" ref="M66:M71">SUM(C66:K66)</f>
        <v>621.5020000000001</v>
      </c>
    </row>
    <row r="67" spans="1:13" ht="12.75">
      <c r="A67" s="216" t="s">
        <v>724</v>
      </c>
      <c r="B67" s="206" t="s">
        <v>367</v>
      </c>
      <c r="C67" s="206">
        <v>124.438</v>
      </c>
      <c r="D67" s="206">
        <v>83.313</v>
      </c>
      <c r="E67" s="206">
        <v>60.677</v>
      </c>
      <c r="F67" s="206">
        <v>20.088</v>
      </c>
      <c r="G67" s="206">
        <v>212.044</v>
      </c>
      <c r="H67" s="206">
        <v>133.827</v>
      </c>
      <c r="I67" s="206">
        <v>15.278</v>
      </c>
      <c r="J67" s="206">
        <v>6.809</v>
      </c>
      <c r="K67" s="206">
        <v>58.216</v>
      </c>
      <c r="L67" s="206"/>
      <c r="M67" s="206">
        <f t="shared" si="8"/>
        <v>714.69</v>
      </c>
    </row>
    <row r="68" spans="1:13" ht="12.75">
      <c r="A68" s="216" t="s">
        <v>725</v>
      </c>
      <c r="B68" s="206" t="s">
        <v>367</v>
      </c>
      <c r="C68" s="206">
        <v>106.203</v>
      </c>
      <c r="D68" s="206">
        <v>67.738</v>
      </c>
      <c r="E68" s="206">
        <v>62.517</v>
      </c>
      <c r="F68" s="206">
        <v>17.974</v>
      </c>
      <c r="G68" s="206">
        <v>191.514</v>
      </c>
      <c r="H68" s="206">
        <v>98.776</v>
      </c>
      <c r="I68" s="206">
        <v>29.33</v>
      </c>
      <c r="J68" s="206">
        <v>16.162</v>
      </c>
      <c r="K68" s="206">
        <v>65.68</v>
      </c>
      <c r="L68" s="206">
        <v>87.662</v>
      </c>
      <c r="M68" s="206">
        <f t="shared" si="8"/>
        <v>655.894</v>
      </c>
    </row>
    <row r="69" spans="1:13" ht="12.75">
      <c r="A69" s="216" t="s">
        <v>726</v>
      </c>
      <c r="B69" s="206" t="s">
        <v>367</v>
      </c>
      <c r="C69" s="206">
        <v>111.566</v>
      </c>
      <c r="D69" s="206">
        <v>76.703</v>
      </c>
      <c r="E69" s="206">
        <v>64.014</v>
      </c>
      <c r="F69" s="206">
        <v>13.128</v>
      </c>
      <c r="G69" s="206">
        <v>187.949</v>
      </c>
      <c r="H69" s="206">
        <v>97.227</v>
      </c>
      <c r="I69" s="206">
        <v>41.499</v>
      </c>
      <c r="J69" s="206">
        <v>29.339</v>
      </c>
      <c r="K69" s="206">
        <v>70.708</v>
      </c>
      <c r="L69" s="206">
        <v>83.175</v>
      </c>
      <c r="M69" s="206">
        <f t="shared" si="8"/>
        <v>692.1329999999999</v>
      </c>
    </row>
    <row r="70" spans="1:13" ht="12.75">
      <c r="A70" s="216" t="s">
        <v>727</v>
      </c>
      <c r="B70" s="206" t="s">
        <v>367</v>
      </c>
      <c r="C70" s="206">
        <v>102.626</v>
      </c>
      <c r="D70" s="206">
        <v>69.949</v>
      </c>
      <c r="E70" s="206">
        <v>57.862</v>
      </c>
      <c r="F70" s="206">
        <v>10.562</v>
      </c>
      <c r="G70" s="206">
        <v>108.569</v>
      </c>
      <c r="H70" s="206">
        <v>116.365</v>
      </c>
      <c r="I70" s="206">
        <v>41.458</v>
      </c>
      <c r="J70" s="206">
        <v>29.637</v>
      </c>
      <c r="K70" s="206">
        <v>71.476</v>
      </c>
      <c r="L70" s="206">
        <v>75.495</v>
      </c>
      <c r="M70" s="206">
        <f t="shared" si="8"/>
        <v>608.504</v>
      </c>
    </row>
    <row r="71" spans="1:13" ht="12.75">
      <c r="A71" s="216" t="s">
        <v>728</v>
      </c>
      <c r="B71" s="206" t="s">
        <v>367</v>
      </c>
      <c r="C71" s="206">
        <v>81.066</v>
      </c>
      <c r="D71" s="206">
        <v>36.314</v>
      </c>
      <c r="E71" s="206">
        <v>64.195</v>
      </c>
      <c r="F71" s="206">
        <v>12.311</v>
      </c>
      <c r="G71" s="206">
        <v>114.987</v>
      </c>
      <c r="H71" s="206">
        <v>125.113</v>
      </c>
      <c r="I71" s="206">
        <v>40.229</v>
      </c>
      <c r="J71" s="206">
        <v>28.674</v>
      </c>
      <c r="K71" s="206">
        <v>71.552</v>
      </c>
      <c r="L71" s="206">
        <v>87.998</v>
      </c>
      <c r="M71" s="206">
        <f t="shared" si="8"/>
        <v>574.4409999999999</v>
      </c>
    </row>
    <row r="72" spans="1:13" ht="12.75">
      <c r="A72" s="216" t="s">
        <v>729</v>
      </c>
      <c r="B72" s="206" t="s">
        <v>367</v>
      </c>
      <c r="C72" s="397"/>
      <c r="D72" s="397"/>
      <c r="E72" s="397"/>
      <c r="F72" s="397"/>
      <c r="G72" s="397"/>
      <c r="H72" s="397"/>
      <c r="I72" s="397"/>
      <c r="J72" s="397"/>
      <c r="K72" s="397"/>
      <c r="L72" s="206"/>
      <c r="M72" s="397"/>
    </row>
    <row r="73" spans="1:13" ht="12.75">
      <c r="A73" s="216" t="s">
        <v>730</v>
      </c>
      <c r="B73" s="206" t="s">
        <v>367</v>
      </c>
      <c r="C73" s="397"/>
      <c r="D73" s="397"/>
      <c r="E73" s="397"/>
      <c r="F73" s="397"/>
      <c r="G73" s="397"/>
      <c r="H73" s="397"/>
      <c r="I73" s="397"/>
      <c r="J73" s="397"/>
      <c r="K73" s="397"/>
      <c r="L73" s="206"/>
      <c r="M73" s="397"/>
    </row>
    <row r="74" spans="1:13" ht="12.75">
      <c r="A74" s="216" t="s">
        <v>731</v>
      </c>
      <c r="B74" s="206" t="s">
        <v>367</v>
      </c>
      <c r="C74" s="397"/>
      <c r="D74" s="397"/>
      <c r="E74" s="397"/>
      <c r="F74" s="397"/>
      <c r="G74" s="397"/>
      <c r="H74" s="397"/>
      <c r="I74" s="397"/>
      <c r="J74" s="397"/>
      <c r="K74" s="397"/>
      <c r="L74" s="206"/>
      <c r="M74" s="397"/>
    </row>
    <row r="75" spans="1:13" ht="12.75">
      <c r="A75" s="216" t="s">
        <v>732</v>
      </c>
      <c r="B75" s="206" t="s">
        <v>367</v>
      </c>
      <c r="C75" s="397"/>
      <c r="D75" s="397"/>
      <c r="E75" s="397"/>
      <c r="F75" s="397"/>
      <c r="G75" s="397"/>
      <c r="H75" s="397"/>
      <c r="I75" s="397"/>
      <c r="J75" s="397"/>
      <c r="K75" s="397"/>
      <c r="L75" s="206"/>
      <c r="M75" s="397"/>
    </row>
    <row r="76" spans="1:13" ht="12.75">
      <c r="A76" s="216" t="s">
        <v>733</v>
      </c>
      <c r="B76" s="206" t="s">
        <v>367</v>
      </c>
      <c r="C76" s="397"/>
      <c r="D76" s="397"/>
      <c r="E76" s="397"/>
      <c r="F76" s="397"/>
      <c r="G76" s="397"/>
      <c r="H76" s="397"/>
      <c r="I76" s="397"/>
      <c r="J76" s="397"/>
      <c r="K76" s="397"/>
      <c r="L76" s="206"/>
      <c r="M76" s="397"/>
    </row>
    <row r="77" spans="1:13" ht="12.75">
      <c r="A77" s="216" t="s">
        <v>734</v>
      </c>
      <c r="B77" s="206" t="s">
        <v>367</v>
      </c>
      <c r="C77" s="397"/>
      <c r="D77" s="397"/>
      <c r="E77" s="397"/>
      <c r="F77" s="397"/>
      <c r="G77" s="397"/>
      <c r="H77" s="397"/>
      <c r="I77" s="397"/>
      <c r="J77" s="397"/>
      <c r="K77" s="397"/>
      <c r="L77" s="206"/>
      <c r="M77" s="397"/>
    </row>
    <row r="78" spans="1:13" ht="12.75">
      <c r="A78" s="215" t="s">
        <v>381</v>
      </c>
      <c r="B78" s="211" t="s">
        <v>367</v>
      </c>
      <c r="C78" s="206">
        <f aca="true" t="shared" si="9" ref="C78:L78">SUM(C66:C77)</f>
        <v>653.022</v>
      </c>
      <c r="D78" s="206">
        <f t="shared" si="9"/>
        <v>364.658</v>
      </c>
      <c r="E78" s="206">
        <f t="shared" si="9"/>
        <v>387.609</v>
      </c>
      <c r="F78" s="206">
        <f t="shared" si="9"/>
        <v>95.26500000000001</v>
      </c>
      <c r="G78" s="206">
        <f t="shared" si="9"/>
        <v>1012.4719999999999</v>
      </c>
      <c r="H78" s="206">
        <f t="shared" si="9"/>
        <v>701.065</v>
      </c>
      <c r="I78" s="206">
        <f t="shared" si="9"/>
        <v>173.94099999999997</v>
      </c>
      <c r="J78" s="206">
        <f t="shared" si="9"/>
        <v>111.50999999999999</v>
      </c>
      <c r="K78" s="206">
        <f t="shared" si="9"/>
        <v>367.62200000000007</v>
      </c>
      <c r="L78" s="206">
        <f t="shared" si="9"/>
        <v>334.33</v>
      </c>
      <c r="M78" s="206">
        <f>SUM(M66:M76)</f>
        <v>3867.1639999999998</v>
      </c>
    </row>
    <row r="79" spans="1:11" ht="12.75">
      <c r="A79" s="210"/>
      <c r="K79" s="198"/>
    </row>
    <row r="80" spans="1:3" ht="12.75">
      <c r="A80" s="214"/>
      <c r="C80" s="197">
        <f>C78/(1-0.021)</f>
        <v>667.02962206333</v>
      </c>
    </row>
    <row r="81" ht="12.75">
      <c r="A81" s="214" t="s">
        <v>448</v>
      </c>
    </row>
    <row r="82" spans="1:14" ht="25.5">
      <c r="A82" s="213" t="s">
        <v>441</v>
      </c>
      <c r="B82" s="213" t="s">
        <v>427</v>
      </c>
      <c r="C82" s="208" t="s">
        <v>664</v>
      </c>
      <c r="D82" s="208" t="s">
        <v>600</v>
      </c>
      <c r="E82" s="208" t="s">
        <v>663</v>
      </c>
      <c r="F82" s="208" t="s">
        <v>662</v>
      </c>
      <c r="G82" s="208" t="s">
        <v>607</v>
      </c>
      <c r="H82" s="208" t="s">
        <v>606</v>
      </c>
      <c r="I82" s="208" t="s">
        <v>397</v>
      </c>
      <c r="J82" s="208" t="s">
        <v>348</v>
      </c>
      <c r="K82" s="208" t="s">
        <v>349</v>
      </c>
      <c r="L82" s="208" t="s">
        <v>763</v>
      </c>
      <c r="M82" s="208" t="s">
        <v>421</v>
      </c>
      <c r="N82" s="213" t="s">
        <v>661</v>
      </c>
    </row>
    <row r="83" spans="1:14" ht="12.75">
      <c r="A83" s="216" t="s">
        <v>723</v>
      </c>
      <c r="B83" s="206" t="s">
        <v>367</v>
      </c>
      <c r="C83" s="230">
        <v>3.073</v>
      </c>
      <c r="D83" s="230">
        <v>0.741</v>
      </c>
      <c r="E83" s="230">
        <v>1.894</v>
      </c>
      <c r="F83" s="230">
        <v>0.512</v>
      </c>
      <c r="G83" s="230">
        <v>4.771</v>
      </c>
      <c r="H83" s="230">
        <v>3.136</v>
      </c>
      <c r="I83" s="230">
        <v>0.149</v>
      </c>
      <c r="J83" s="230">
        <v>0.021</v>
      </c>
      <c r="K83" s="230">
        <v>0.725</v>
      </c>
      <c r="L83" s="206"/>
      <c r="M83" s="230">
        <f>SUM(C83:K83)</f>
        <v>15.021999999999998</v>
      </c>
      <c r="N83" s="206">
        <v>2.12</v>
      </c>
    </row>
    <row r="84" spans="1:14" ht="12.75">
      <c r="A84" s="216" t="s">
        <v>724</v>
      </c>
      <c r="B84" s="206" t="s">
        <v>367</v>
      </c>
      <c r="C84" s="230">
        <v>3.034</v>
      </c>
      <c r="D84" s="230">
        <v>2.021</v>
      </c>
      <c r="E84" s="230">
        <v>1.479</v>
      </c>
      <c r="F84" s="230">
        <v>0.49</v>
      </c>
      <c r="G84" s="230">
        <v>5.17</v>
      </c>
      <c r="H84" s="230">
        <v>3.263</v>
      </c>
      <c r="I84" s="230">
        <v>0.372</v>
      </c>
      <c r="J84" s="230">
        <v>0.166</v>
      </c>
      <c r="K84" s="230">
        <v>1.419</v>
      </c>
      <c r="L84" s="206"/>
      <c r="M84" s="230">
        <f>M67*3.63%</f>
        <v>25.943247</v>
      </c>
      <c r="N84" s="206">
        <v>2.14</v>
      </c>
    </row>
    <row r="85" spans="1:14" ht="12.75">
      <c r="A85" s="216" t="s">
        <v>725</v>
      </c>
      <c r="B85" s="206" t="s">
        <v>367</v>
      </c>
      <c r="C85" s="230">
        <v>2.656</v>
      </c>
      <c r="D85" s="230">
        <v>1.694</v>
      </c>
      <c r="E85" s="230">
        <v>1.564</v>
      </c>
      <c r="F85" s="230">
        <v>0.45</v>
      </c>
      <c r="G85" s="230">
        <v>4.79</v>
      </c>
      <c r="H85" s="230">
        <v>2.47</v>
      </c>
      <c r="I85" s="230">
        <v>0.734</v>
      </c>
      <c r="J85" s="230">
        <v>0.404</v>
      </c>
      <c r="K85" s="230">
        <v>1.643</v>
      </c>
      <c r="L85" s="206"/>
      <c r="M85" s="230">
        <f>SUM(C85:L85)</f>
        <v>16.405</v>
      </c>
      <c r="N85" s="184">
        <v>2.19</v>
      </c>
    </row>
    <row r="86" spans="1:14" ht="12.75">
      <c r="A86" s="216" t="s">
        <v>726</v>
      </c>
      <c r="B86" s="206" t="s">
        <v>367</v>
      </c>
      <c r="C86" s="230">
        <v>2.861</v>
      </c>
      <c r="D86" s="230">
        <v>1.967</v>
      </c>
      <c r="E86" s="230">
        <v>1.641</v>
      </c>
      <c r="F86" s="230">
        <v>0.337</v>
      </c>
      <c r="G86" s="230">
        <v>4.819</v>
      </c>
      <c r="H86" s="230">
        <v>2.493</v>
      </c>
      <c r="I86" s="230">
        <v>1.064</v>
      </c>
      <c r="J86" s="230">
        <v>0.752</v>
      </c>
      <c r="K86" s="230">
        <v>1.813</v>
      </c>
      <c r="L86" s="206"/>
      <c r="M86" s="230">
        <f>SUM(C86:L86)</f>
        <v>17.747</v>
      </c>
      <c r="N86" s="206">
        <v>2.23</v>
      </c>
    </row>
    <row r="87" spans="1:14" ht="12.75">
      <c r="A87" s="216" t="s">
        <v>727</v>
      </c>
      <c r="B87" s="206" t="s">
        <v>367</v>
      </c>
      <c r="C87" s="230">
        <v>2.729</v>
      </c>
      <c r="D87" s="230">
        <v>1.86</v>
      </c>
      <c r="E87" s="230">
        <v>1.538</v>
      </c>
      <c r="F87" s="230">
        <v>0.281</v>
      </c>
      <c r="G87" s="230">
        <v>2.887</v>
      </c>
      <c r="H87" s="230">
        <v>3.094</v>
      </c>
      <c r="I87" s="230">
        <v>1.102</v>
      </c>
      <c r="J87" s="230">
        <v>0.788</v>
      </c>
      <c r="K87" s="230">
        <v>1.9</v>
      </c>
      <c r="L87" s="206"/>
      <c r="M87" s="230">
        <f>SUM(C87:L87)</f>
        <v>16.179</v>
      </c>
      <c r="N87" s="206">
        <v>2.3</v>
      </c>
    </row>
    <row r="88" spans="1:14" ht="12.75">
      <c r="A88" s="216" t="s">
        <v>728</v>
      </c>
      <c r="B88" s="206" t="s">
        <v>367</v>
      </c>
      <c r="C88" s="230">
        <v>2.292</v>
      </c>
      <c r="D88" s="230">
        <v>1.035</v>
      </c>
      <c r="E88" s="230">
        <v>1.815</v>
      </c>
      <c r="F88" s="230">
        <v>0.348</v>
      </c>
      <c r="G88" s="230">
        <v>3.252</v>
      </c>
      <c r="H88" s="230">
        <v>3.538</v>
      </c>
      <c r="I88" s="230">
        <v>1.138</v>
      </c>
      <c r="J88" s="230">
        <v>0.811</v>
      </c>
      <c r="K88" s="230">
        <v>2.023</v>
      </c>
      <c r="L88" s="206"/>
      <c r="M88" s="230">
        <f>SUM(C88:L88)</f>
        <v>16.252</v>
      </c>
      <c r="N88" s="206">
        <v>2.45</v>
      </c>
    </row>
    <row r="89" spans="1:14" ht="12.75">
      <c r="A89" s="216" t="s">
        <v>729</v>
      </c>
      <c r="B89" s="206" t="s">
        <v>367</v>
      </c>
      <c r="C89" s="398"/>
      <c r="D89" s="398"/>
      <c r="E89" s="398"/>
      <c r="F89" s="398"/>
      <c r="G89" s="398"/>
      <c r="H89" s="398"/>
      <c r="I89" s="398"/>
      <c r="J89" s="398"/>
      <c r="K89" s="398"/>
      <c r="L89" s="206"/>
      <c r="M89" s="398"/>
      <c r="N89" s="397"/>
    </row>
    <row r="90" spans="1:14" ht="12.75">
      <c r="A90" s="216" t="s">
        <v>730</v>
      </c>
      <c r="B90" s="206" t="s">
        <v>367</v>
      </c>
      <c r="C90" s="398"/>
      <c r="D90" s="398"/>
      <c r="E90" s="398"/>
      <c r="F90" s="398"/>
      <c r="G90" s="398"/>
      <c r="H90" s="398"/>
      <c r="I90" s="398"/>
      <c r="J90" s="398"/>
      <c r="K90" s="398"/>
      <c r="L90" s="206"/>
      <c r="M90" s="398"/>
      <c r="N90" s="397"/>
    </row>
    <row r="91" spans="1:14" ht="12.75">
      <c r="A91" s="216" t="s">
        <v>731</v>
      </c>
      <c r="B91" s="206" t="s">
        <v>367</v>
      </c>
      <c r="C91" s="398"/>
      <c r="D91" s="398"/>
      <c r="E91" s="398"/>
      <c r="F91" s="398"/>
      <c r="G91" s="398"/>
      <c r="H91" s="398"/>
      <c r="I91" s="398"/>
      <c r="J91" s="398"/>
      <c r="K91" s="398"/>
      <c r="L91" s="206"/>
      <c r="M91" s="398"/>
      <c r="N91" s="397"/>
    </row>
    <row r="92" spans="1:14" ht="12.75">
      <c r="A92" s="216" t="s">
        <v>732</v>
      </c>
      <c r="B92" s="206" t="s">
        <v>367</v>
      </c>
      <c r="C92" s="398"/>
      <c r="D92" s="398"/>
      <c r="E92" s="398"/>
      <c r="F92" s="398"/>
      <c r="G92" s="398"/>
      <c r="H92" s="398"/>
      <c r="I92" s="398"/>
      <c r="J92" s="398"/>
      <c r="K92" s="398"/>
      <c r="L92" s="206"/>
      <c r="M92" s="398"/>
      <c r="N92" s="397"/>
    </row>
    <row r="93" spans="1:14" ht="12.75">
      <c r="A93" s="216" t="s">
        <v>733</v>
      </c>
      <c r="B93" s="206" t="s">
        <v>367</v>
      </c>
      <c r="C93" s="398"/>
      <c r="D93" s="398"/>
      <c r="E93" s="398"/>
      <c r="F93" s="398"/>
      <c r="G93" s="398"/>
      <c r="H93" s="398"/>
      <c r="I93" s="398"/>
      <c r="J93" s="398"/>
      <c r="K93" s="398"/>
      <c r="L93" s="206"/>
      <c r="M93" s="398"/>
      <c r="N93" s="397"/>
    </row>
    <row r="94" spans="1:14" ht="12.75">
      <c r="A94" s="216" t="s">
        <v>734</v>
      </c>
      <c r="B94" s="206" t="s">
        <v>367</v>
      </c>
      <c r="C94" s="398"/>
      <c r="D94" s="398"/>
      <c r="E94" s="398"/>
      <c r="F94" s="398"/>
      <c r="G94" s="398"/>
      <c r="H94" s="398"/>
      <c r="I94" s="398"/>
      <c r="J94" s="398"/>
      <c r="K94" s="398"/>
      <c r="L94" s="206"/>
      <c r="M94" s="398"/>
      <c r="N94" s="397"/>
    </row>
    <row r="95" spans="1:15" ht="12.75">
      <c r="A95" s="212" t="s">
        <v>381</v>
      </c>
      <c r="B95" s="206" t="s">
        <v>367</v>
      </c>
      <c r="C95" s="230">
        <f aca="true" t="shared" si="10" ref="C95:K95">SUM(C83:C94)</f>
        <v>16.645000000000003</v>
      </c>
      <c r="D95" s="230">
        <f t="shared" si="10"/>
        <v>9.318</v>
      </c>
      <c r="E95" s="230">
        <f t="shared" si="10"/>
        <v>9.931</v>
      </c>
      <c r="F95" s="230">
        <f t="shared" si="10"/>
        <v>2.4179999999999997</v>
      </c>
      <c r="G95" s="230">
        <f t="shared" si="10"/>
        <v>25.688999999999997</v>
      </c>
      <c r="H95" s="230">
        <f t="shared" si="10"/>
        <v>17.994</v>
      </c>
      <c r="I95" s="230">
        <f t="shared" si="10"/>
        <v>4.559</v>
      </c>
      <c r="J95" s="230">
        <f t="shared" si="10"/>
        <v>2.942</v>
      </c>
      <c r="K95" s="230">
        <f t="shared" si="10"/>
        <v>9.523</v>
      </c>
      <c r="L95" s="206"/>
      <c r="M95" s="230">
        <f>SUM(M83:M94)</f>
        <v>107.54824699999999</v>
      </c>
      <c r="N95" s="206"/>
      <c r="O95" s="197">
        <f>(N83*M66+N84*M67+N85*M68+N86*M69+N87*M70+N88*M71+N89*M72+N90*M73+N91*M74+N92*M75+N93*M76+N94*M77)/M78</f>
        <v>2.232598601972919</v>
      </c>
    </row>
    <row r="96" spans="1:14" ht="12.75">
      <c r="A96" s="211" t="s">
        <v>448</v>
      </c>
      <c r="B96" s="211" t="s">
        <v>372</v>
      </c>
      <c r="C96" s="230">
        <f>(2.02+2.05+2.1+2.06+2.11+2.25)/6</f>
        <v>2.098333333333333</v>
      </c>
      <c r="D96" s="230">
        <f>(2.02+2.05+2.1+2.06+2.11+2.25)/6</f>
        <v>2.098333333333333</v>
      </c>
      <c r="E96" s="230">
        <f>(2.08+2.05+2.1+2.06+2.11+2.05)/6</f>
        <v>2.0749999999999997</v>
      </c>
      <c r="F96" s="230">
        <f>(2.08+2.05+2.1+2.06+2.11+2.05)/6</f>
        <v>2.0749999999999997</v>
      </c>
      <c r="G96" s="230">
        <f>(2.26+2.35+2.4+2.36+2.41+2.55)/6</f>
        <v>2.388333333333333</v>
      </c>
      <c r="H96" s="230">
        <f>(2.45+2.35+2.4+2.96+3.14+3.36)/6</f>
        <v>2.776666666666667</v>
      </c>
      <c r="I96" s="230">
        <f>(2.02+2.05+2.1+2.06+2.11+2.25)/6</f>
        <v>2.098333333333333</v>
      </c>
      <c r="J96" s="230">
        <f>(2.02+2.05+2.1+2.06+2.11+2.25)/6</f>
        <v>2.098333333333333</v>
      </c>
      <c r="K96" s="230">
        <f>(2.02+2.05+2.1+2.06+2.11+2.25)/6</f>
        <v>2.098333333333333</v>
      </c>
      <c r="L96" s="206">
        <f>(2.07+2.11+2.25)/4</f>
        <v>1.6075</v>
      </c>
      <c r="M96" s="230">
        <f>(C96+D96+E96+F96+G96+H96+I96+J96+K96+L96)/9</f>
        <v>2.379351851851852</v>
      </c>
      <c r="N96" s="206">
        <f>AVERAGE(N83:N94)</f>
        <v>2.2383333333333333</v>
      </c>
    </row>
    <row r="97" spans="1:13" ht="12.75">
      <c r="A97" s="210"/>
      <c r="C97" s="229"/>
      <c r="H97" s="198"/>
      <c r="I97" s="198"/>
      <c r="J97" s="198"/>
      <c r="K97" s="198"/>
      <c r="M97" s="198"/>
    </row>
    <row r="98" spans="8:11" ht="12.75">
      <c r="H98" s="198"/>
      <c r="I98" s="198"/>
      <c r="J98" s="198"/>
      <c r="K98" s="198"/>
    </row>
    <row r="99" spans="1:10" ht="12.75">
      <c r="A99" s="203" t="s">
        <v>483</v>
      </c>
      <c r="B99" s="200"/>
      <c r="C99" s="199"/>
      <c r="D99" s="199"/>
      <c r="E99" s="199"/>
      <c r="F99" s="199"/>
      <c r="G99" s="199"/>
      <c r="H99" s="199"/>
      <c r="I99" s="199"/>
      <c r="J99" s="199"/>
    </row>
    <row r="100" spans="1:13" ht="25.5">
      <c r="A100" s="209"/>
      <c r="B100" s="208" t="s">
        <v>664</v>
      </c>
      <c r="C100" s="208" t="s">
        <v>600</v>
      </c>
      <c r="D100" s="208" t="s">
        <v>663</v>
      </c>
      <c r="E100" s="208" t="s">
        <v>662</v>
      </c>
      <c r="F100" s="208" t="s">
        <v>607</v>
      </c>
      <c r="G100" s="208" t="s">
        <v>606</v>
      </c>
      <c r="H100" s="208" t="s">
        <v>397</v>
      </c>
      <c r="I100" s="208" t="s">
        <v>348</v>
      </c>
      <c r="J100" s="208" t="s">
        <v>349</v>
      </c>
      <c r="K100" s="208" t="s">
        <v>763</v>
      </c>
      <c r="L100" s="208" t="s">
        <v>421</v>
      </c>
      <c r="M100" s="213" t="s">
        <v>661</v>
      </c>
    </row>
    <row r="101" spans="1:13" ht="12.75">
      <c r="A101" s="207" t="s">
        <v>484</v>
      </c>
      <c r="B101" s="150">
        <f aca="true" t="shared" si="11" ref="B101:L101">C78</f>
        <v>653.022</v>
      </c>
      <c r="C101" s="150">
        <f t="shared" si="11"/>
        <v>364.658</v>
      </c>
      <c r="D101" s="150">
        <f t="shared" si="11"/>
        <v>387.609</v>
      </c>
      <c r="E101" s="150">
        <f t="shared" si="11"/>
        <v>95.26500000000001</v>
      </c>
      <c r="F101" s="150">
        <f t="shared" si="11"/>
        <v>1012.4719999999999</v>
      </c>
      <c r="G101" s="150">
        <f t="shared" si="11"/>
        <v>701.065</v>
      </c>
      <c r="H101" s="150">
        <f t="shared" si="11"/>
        <v>173.94099999999997</v>
      </c>
      <c r="I101" s="150">
        <f t="shared" si="11"/>
        <v>111.50999999999999</v>
      </c>
      <c r="J101" s="150">
        <f t="shared" si="11"/>
        <v>367.62200000000007</v>
      </c>
      <c r="K101" s="150">
        <f t="shared" si="11"/>
        <v>334.33</v>
      </c>
      <c r="L101" s="150">
        <f t="shared" si="11"/>
        <v>3867.1639999999998</v>
      </c>
      <c r="M101" s="206"/>
    </row>
    <row r="102" spans="1:13" ht="12.75">
      <c r="A102" s="207" t="s">
        <v>485</v>
      </c>
      <c r="B102" s="150">
        <f aca="true" t="shared" si="12" ref="B102:L102">C95</f>
        <v>16.645000000000003</v>
      </c>
      <c r="C102" s="150">
        <f t="shared" si="12"/>
        <v>9.318</v>
      </c>
      <c r="D102" s="150">
        <f t="shared" si="12"/>
        <v>9.931</v>
      </c>
      <c r="E102" s="150">
        <f t="shared" si="12"/>
        <v>2.4179999999999997</v>
      </c>
      <c r="F102" s="150">
        <f t="shared" si="12"/>
        <v>25.688999999999997</v>
      </c>
      <c r="G102" s="150">
        <f t="shared" si="12"/>
        <v>17.994</v>
      </c>
      <c r="H102" s="150">
        <f t="shared" si="12"/>
        <v>4.559</v>
      </c>
      <c r="I102" s="150">
        <f t="shared" si="12"/>
        <v>2.942</v>
      </c>
      <c r="J102" s="150">
        <f t="shared" si="12"/>
        <v>9.523</v>
      </c>
      <c r="K102" s="150">
        <f t="shared" si="12"/>
        <v>0</v>
      </c>
      <c r="L102" s="150">
        <f t="shared" si="12"/>
        <v>107.54824699999999</v>
      </c>
      <c r="M102" s="206"/>
    </row>
    <row r="103" spans="1:13" ht="25.5">
      <c r="A103" s="207" t="s">
        <v>486</v>
      </c>
      <c r="B103" s="150">
        <f aca="true" t="shared" si="13" ref="B103:L103">B101-B102</f>
        <v>636.3770000000001</v>
      </c>
      <c r="C103" s="150">
        <f t="shared" si="13"/>
        <v>355.34000000000003</v>
      </c>
      <c r="D103" s="150">
        <f t="shared" si="13"/>
        <v>377.678</v>
      </c>
      <c r="E103" s="150">
        <f t="shared" si="13"/>
        <v>92.84700000000001</v>
      </c>
      <c r="F103" s="150">
        <f t="shared" si="13"/>
        <v>986.7829999999999</v>
      </c>
      <c r="G103" s="150">
        <f t="shared" si="13"/>
        <v>683.071</v>
      </c>
      <c r="H103" s="150">
        <f t="shared" si="13"/>
        <v>169.38199999999998</v>
      </c>
      <c r="I103" s="150">
        <f t="shared" si="13"/>
        <v>108.56799999999998</v>
      </c>
      <c r="J103" s="150">
        <f t="shared" si="13"/>
        <v>358.09900000000005</v>
      </c>
      <c r="K103" s="150">
        <f t="shared" si="13"/>
        <v>334.33</v>
      </c>
      <c r="L103" s="150">
        <f t="shared" si="13"/>
        <v>3759.6157529999996</v>
      </c>
      <c r="M103" s="206"/>
    </row>
    <row r="104" spans="1:13" ht="12.75">
      <c r="A104" s="209" t="s">
        <v>660</v>
      </c>
      <c r="B104" s="150">
        <f aca="true" t="shared" si="14" ref="B104:J104">(B102/B101)*100</f>
        <v>2.548918719430586</v>
      </c>
      <c r="C104" s="150">
        <f t="shared" si="14"/>
        <v>2.5552709662204034</v>
      </c>
      <c r="D104" s="150">
        <f t="shared" si="14"/>
        <v>2.5621180106757064</v>
      </c>
      <c r="E104" s="150">
        <f t="shared" si="14"/>
        <v>2.5381829633128636</v>
      </c>
      <c r="F104" s="150">
        <f t="shared" si="14"/>
        <v>2.5372553512590965</v>
      </c>
      <c r="G104" s="150">
        <f t="shared" si="14"/>
        <v>2.566666428933123</v>
      </c>
      <c r="H104" s="150">
        <f t="shared" si="14"/>
        <v>2.6210036736594597</v>
      </c>
      <c r="I104" s="150">
        <f t="shared" si="14"/>
        <v>2.638328401040266</v>
      </c>
      <c r="J104" s="150">
        <f t="shared" si="14"/>
        <v>2.590432563883554</v>
      </c>
      <c r="K104" s="150">
        <v>1.6075</v>
      </c>
      <c r="L104" s="150">
        <f>(L102/L101)*100</f>
        <v>2.7810624788604774</v>
      </c>
      <c r="M104" s="228">
        <f>AVERAGE(B104:K104)</f>
        <v>2.476567707841506</v>
      </c>
    </row>
    <row r="105" spans="1:12" ht="12.75">
      <c r="A105" s="209"/>
      <c r="B105" s="263"/>
      <c r="C105" s="205"/>
      <c r="D105" s="205"/>
      <c r="E105" s="205"/>
      <c r="F105" s="205"/>
      <c r="G105" s="205"/>
      <c r="H105" s="205"/>
      <c r="I105" s="264"/>
      <c r="J105" s="205"/>
      <c r="K105" s="206"/>
      <c r="L105" s="206"/>
    </row>
    <row r="106" spans="1:12" ht="12.75">
      <c r="A106" s="201"/>
      <c r="B106" s="200"/>
      <c r="C106" s="199"/>
      <c r="D106" s="199"/>
      <c r="E106" s="199"/>
      <c r="F106" s="199"/>
      <c r="G106" s="199"/>
      <c r="H106" s="199"/>
      <c r="I106" s="199"/>
      <c r="J106" s="199"/>
      <c r="K106" s="198"/>
      <c r="L106" s="198"/>
    </row>
    <row r="107" spans="1:11" ht="12.75">
      <c r="A107" s="198"/>
      <c r="B107" s="198"/>
      <c r="C107" s="198"/>
      <c r="D107" s="198"/>
      <c r="E107" s="198"/>
      <c r="F107" s="198"/>
      <c r="G107" s="198"/>
      <c r="H107" s="198"/>
      <c r="I107" s="198"/>
      <c r="J107" s="198"/>
      <c r="K107" s="198"/>
    </row>
    <row r="109" ht="15">
      <c r="E109" s="227" t="s">
        <v>735</v>
      </c>
    </row>
    <row r="110" spans="1:11" ht="12.75">
      <c r="A110" s="226" t="s">
        <v>534</v>
      </c>
      <c r="B110" s="222"/>
      <c r="C110" s="188"/>
      <c r="D110" s="188"/>
      <c r="E110" s="188"/>
      <c r="F110" s="188"/>
      <c r="J110" s="225" t="s">
        <v>366</v>
      </c>
      <c r="K110" s="224" t="s">
        <v>503</v>
      </c>
    </row>
    <row r="111" spans="1:6" ht="15.75">
      <c r="A111" s="223" t="s">
        <v>364</v>
      </c>
      <c r="B111" s="222"/>
      <c r="C111" s="188"/>
      <c r="D111" s="188"/>
      <c r="E111" s="188"/>
      <c r="F111" s="188"/>
    </row>
    <row r="112" spans="1:6" ht="12.75">
      <c r="A112" s="220"/>
      <c r="B112" s="222"/>
      <c r="C112" s="188"/>
      <c r="D112" s="188"/>
      <c r="E112" s="188"/>
      <c r="F112" s="188"/>
    </row>
    <row r="113" spans="1:6" ht="12.75">
      <c r="A113" s="221" t="s">
        <v>382</v>
      </c>
      <c r="B113" s="197">
        <v>1</v>
      </c>
      <c r="C113" s="219" t="s">
        <v>436</v>
      </c>
      <c r="D113" s="219"/>
      <c r="E113" s="188"/>
      <c r="F113" s="188"/>
    </row>
    <row r="114" spans="1:6" ht="12.75">
      <c r="A114" s="220"/>
      <c r="B114" s="197">
        <v>2</v>
      </c>
      <c r="C114" s="219" t="s">
        <v>475</v>
      </c>
      <c r="D114" s="219"/>
      <c r="E114" s="188"/>
      <c r="F114" s="188"/>
    </row>
    <row r="115" spans="1:6" ht="12.75">
      <c r="A115" s="220"/>
      <c r="B115" s="197">
        <v>3</v>
      </c>
      <c r="C115" s="219" t="s">
        <v>439</v>
      </c>
      <c r="D115" s="219"/>
      <c r="E115" s="188"/>
      <c r="F115" s="188"/>
    </row>
    <row r="116" spans="1:6" ht="12.75">
      <c r="A116" s="188"/>
      <c r="B116" s="188"/>
      <c r="C116" s="219"/>
      <c r="D116" s="219"/>
      <c r="E116" s="188"/>
      <c r="F116" s="188"/>
    </row>
    <row r="117" spans="1:6" ht="12.75">
      <c r="A117" s="188"/>
      <c r="B117" s="188"/>
      <c r="C117" s="188"/>
      <c r="D117" s="188"/>
      <c r="E117" s="188"/>
      <c r="F117" s="188"/>
    </row>
    <row r="118" spans="1:9" ht="12.75">
      <c r="A118" s="214" t="s">
        <v>502</v>
      </c>
      <c r="C118" s="218"/>
      <c r="D118" s="218"/>
      <c r="E118" s="217"/>
      <c r="F118" s="217"/>
      <c r="G118" s="217"/>
      <c r="H118" s="217"/>
      <c r="I118" s="217"/>
    </row>
    <row r="119" spans="1:13" ht="25.5">
      <c r="A119" s="211" t="s">
        <v>441</v>
      </c>
      <c r="B119" s="211" t="s">
        <v>427</v>
      </c>
      <c r="C119" s="208" t="s">
        <v>664</v>
      </c>
      <c r="D119" s="208" t="s">
        <v>600</v>
      </c>
      <c r="E119" s="208" t="s">
        <v>663</v>
      </c>
      <c r="F119" s="208" t="s">
        <v>662</v>
      </c>
      <c r="G119" s="208" t="s">
        <v>607</v>
      </c>
      <c r="H119" s="208" t="s">
        <v>606</v>
      </c>
      <c r="I119" s="208" t="s">
        <v>397</v>
      </c>
      <c r="J119" s="208" t="s">
        <v>348</v>
      </c>
      <c r="K119" s="208" t="s">
        <v>349</v>
      </c>
      <c r="L119" s="208" t="s">
        <v>421</v>
      </c>
      <c r="M119" s="213" t="s">
        <v>661</v>
      </c>
    </row>
    <row r="120" spans="1:12" ht="12.75">
      <c r="A120" s="216" t="s">
        <v>762</v>
      </c>
      <c r="B120" s="206" t="s">
        <v>367</v>
      </c>
      <c r="C120" s="206" t="s">
        <v>591</v>
      </c>
      <c r="D120" s="206"/>
      <c r="E120" s="206"/>
      <c r="F120" s="206"/>
      <c r="G120" s="206"/>
      <c r="H120" s="206"/>
      <c r="I120" s="206"/>
      <c r="J120" s="206"/>
      <c r="K120" s="206"/>
      <c r="L120" s="206"/>
    </row>
    <row r="121" spans="1:12" ht="12.75">
      <c r="A121" s="216" t="s">
        <v>761</v>
      </c>
      <c r="B121" s="206" t="s">
        <v>367</v>
      </c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</row>
    <row r="122" spans="1:12" ht="12.75">
      <c r="A122" s="216" t="s">
        <v>760</v>
      </c>
      <c r="B122" s="206" t="s">
        <v>367</v>
      </c>
      <c r="C122" s="206"/>
      <c r="D122" s="206"/>
      <c r="E122" s="206"/>
      <c r="F122" s="206"/>
      <c r="G122" s="206"/>
      <c r="H122" s="206"/>
      <c r="I122" s="206"/>
      <c r="J122" s="206"/>
      <c r="K122" s="206"/>
      <c r="L122" s="206"/>
    </row>
    <row r="123" spans="1:12" ht="12.75">
      <c r="A123" s="216" t="s">
        <v>759</v>
      </c>
      <c r="B123" s="206" t="s">
        <v>367</v>
      </c>
      <c r="C123" s="206"/>
      <c r="D123" s="206"/>
      <c r="E123" s="206"/>
      <c r="F123" s="206"/>
      <c r="G123" s="206"/>
      <c r="H123" s="206"/>
      <c r="I123" s="206"/>
      <c r="J123" s="206"/>
      <c r="K123" s="206"/>
      <c r="L123" s="206"/>
    </row>
    <row r="124" spans="1:12" ht="12.75">
      <c r="A124" s="216" t="s">
        <v>758</v>
      </c>
      <c r="B124" s="206" t="s">
        <v>367</v>
      </c>
      <c r="C124" s="206"/>
      <c r="D124" s="206"/>
      <c r="E124" s="206"/>
      <c r="F124" s="206"/>
      <c r="G124" s="206"/>
      <c r="H124" s="206"/>
      <c r="I124" s="206"/>
      <c r="J124" s="206"/>
      <c r="K124" s="206"/>
      <c r="L124" s="206"/>
    </row>
    <row r="125" spans="1:12" ht="12.75">
      <c r="A125" s="216" t="s">
        <v>757</v>
      </c>
      <c r="B125" s="206" t="s">
        <v>367</v>
      </c>
      <c r="C125" s="206"/>
      <c r="D125" s="206"/>
      <c r="E125" s="206"/>
      <c r="F125" s="206"/>
      <c r="G125" s="206"/>
      <c r="H125" s="206"/>
      <c r="I125" s="206"/>
      <c r="J125" s="206"/>
      <c r="K125" s="206"/>
      <c r="L125" s="206"/>
    </row>
    <row r="126" spans="1:12" ht="12.75">
      <c r="A126" s="216" t="s">
        <v>756</v>
      </c>
      <c r="B126" s="206" t="s">
        <v>367</v>
      </c>
      <c r="C126" s="206"/>
      <c r="D126" s="206"/>
      <c r="E126" s="206"/>
      <c r="F126" s="206"/>
      <c r="G126" s="206"/>
      <c r="H126" s="206"/>
      <c r="I126" s="206"/>
      <c r="J126" s="206"/>
      <c r="K126" s="206"/>
      <c r="L126" s="206"/>
    </row>
    <row r="127" spans="1:12" ht="12.75">
      <c r="A127" s="216" t="s">
        <v>755</v>
      </c>
      <c r="B127" s="206" t="s">
        <v>367</v>
      </c>
      <c r="C127" s="206"/>
      <c r="D127" s="206"/>
      <c r="E127" s="206"/>
      <c r="F127" s="206"/>
      <c r="G127" s="206"/>
      <c r="H127" s="206"/>
      <c r="I127" s="206"/>
      <c r="J127" s="206"/>
      <c r="K127" s="206"/>
      <c r="L127" s="206"/>
    </row>
    <row r="128" spans="1:12" ht="12.75">
      <c r="A128" s="216" t="s">
        <v>754</v>
      </c>
      <c r="B128" s="206" t="s">
        <v>367</v>
      </c>
      <c r="C128" s="206"/>
      <c r="D128" s="206"/>
      <c r="E128" s="206"/>
      <c r="F128" s="206"/>
      <c r="G128" s="206"/>
      <c r="H128" s="206"/>
      <c r="I128" s="206"/>
      <c r="J128" s="206"/>
      <c r="K128" s="206"/>
      <c r="L128" s="206"/>
    </row>
    <row r="129" spans="1:12" ht="12.75">
      <c r="A129" s="216" t="s">
        <v>753</v>
      </c>
      <c r="B129" s="206" t="s">
        <v>367</v>
      </c>
      <c r="C129" s="206"/>
      <c r="D129" s="206"/>
      <c r="E129" s="206"/>
      <c r="F129" s="206"/>
      <c r="G129" s="206"/>
      <c r="H129" s="206"/>
      <c r="I129" s="206"/>
      <c r="J129" s="206"/>
      <c r="K129" s="206"/>
      <c r="L129" s="206"/>
    </row>
    <row r="130" spans="1:12" ht="12.75">
      <c r="A130" s="216" t="s">
        <v>752</v>
      </c>
      <c r="B130" s="206" t="s">
        <v>367</v>
      </c>
      <c r="C130" s="206"/>
      <c r="D130" s="206"/>
      <c r="E130" s="206"/>
      <c r="F130" s="206"/>
      <c r="G130" s="206"/>
      <c r="H130" s="206"/>
      <c r="I130" s="206"/>
      <c r="J130" s="206"/>
      <c r="K130" s="206"/>
      <c r="L130" s="206"/>
    </row>
    <row r="131" spans="1:12" ht="12.75">
      <c r="A131" s="216" t="s">
        <v>751</v>
      </c>
      <c r="B131" s="206" t="s">
        <v>367</v>
      </c>
      <c r="C131" s="206"/>
      <c r="D131" s="206"/>
      <c r="E131" s="206"/>
      <c r="F131" s="206"/>
      <c r="G131" s="206"/>
      <c r="H131" s="206"/>
      <c r="I131" s="206"/>
      <c r="J131" s="206"/>
      <c r="K131" s="206"/>
      <c r="L131" s="206"/>
    </row>
    <row r="132" spans="1:13" ht="12.75">
      <c r="A132" s="215" t="s">
        <v>381</v>
      </c>
      <c r="B132" s="211" t="s">
        <v>367</v>
      </c>
      <c r="C132" s="211"/>
      <c r="D132" s="211"/>
      <c r="E132" s="211"/>
      <c r="F132" s="211"/>
      <c r="G132" s="211"/>
      <c r="H132" s="211"/>
      <c r="I132" s="211"/>
      <c r="J132" s="211"/>
      <c r="K132" s="211"/>
      <c r="L132" s="211"/>
      <c r="M132" s="214"/>
    </row>
    <row r="133" spans="1:11" ht="12.75">
      <c r="A133" s="210"/>
      <c r="K133" s="198"/>
    </row>
    <row r="134" ht="12.75">
      <c r="A134" s="214"/>
    </row>
    <row r="135" ht="12.75">
      <c r="A135" s="214" t="s">
        <v>448</v>
      </c>
    </row>
    <row r="136" spans="1:13" ht="25.5">
      <c r="A136" s="213" t="s">
        <v>441</v>
      </c>
      <c r="B136" s="213" t="s">
        <v>427</v>
      </c>
      <c r="C136" s="208" t="s">
        <v>664</v>
      </c>
      <c r="D136" s="208" t="s">
        <v>600</v>
      </c>
      <c r="E136" s="208" t="s">
        <v>663</v>
      </c>
      <c r="F136" s="208" t="s">
        <v>662</v>
      </c>
      <c r="G136" s="208" t="s">
        <v>607</v>
      </c>
      <c r="H136" s="208" t="s">
        <v>606</v>
      </c>
      <c r="I136" s="208" t="s">
        <v>397</v>
      </c>
      <c r="J136" s="208" t="s">
        <v>348</v>
      </c>
      <c r="K136" s="208" t="s">
        <v>349</v>
      </c>
      <c r="L136" s="208" t="s">
        <v>421</v>
      </c>
      <c r="M136" s="213" t="s">
        <v>661</v>
      </c>
    </row>
    <row r="137" spans="1:13" ht="12.75">
      <c r="A137" s="216" t="s">
        <v>762</v>
      </c>
      <c r="B137" s="206" t="s">
        <v>367</v>
      </c>
      <c r="C137" s="206"/>
      <c r="D137" s="206"/>
      <c r="E137" s="206"/>
      <c r="F137" s="206"/>
      <c r="G137" s="206"/>
      <c r="H137" s="206"/>
      <c r="I137" s="206"/>
      <c r="J137" s="206"/>
      <c r="K137" s="206"/>
      <c r="L137" s="206"/>
      <c r="M137" s="206"/>
    </row>
    <row r="138" spans="1:13" ht="12.75">
      <c r="A138" s="216" t="s">
        <v>761</v>
      </c>
      <c r="B138" s="206" t="s">
        <v>367</v>
      </c>
      <c r="C138" s="206"/>
      <c r="D138" s="206"/>
      <c r="E138" s="206"/>
      <c r="F138" s="206"/>
      <c r="G138" s="206"/>
      <c r="H138" s="206"/>
      <c r="I138" s="206"/>
      <c r="J138" s="206"/>
      <c r="K138" s="206"/>
      <c r="L138" s="206"/>
      <c r="M138" s="206"/>
    </row>
    <row r="139" spans="1:13" ht="12.75">
      <c r="A139" s="216" t="s">
        <v>760</v>
      </c>
      <c r="B139" s="206" t="s">
        <v>367</v>
      </c>
      <c r="C139" s="206"/>
      <c r="D139" s="206"/>
      <c r="E139" s="206"/>
      <c r="F139" s="206"/>
      <c r="G139" s="206"/>
      <c r="H139" s="206"/>
      <c r="I139" s="206"/>
      <c r="J139" s="206"/>
      <c r="K139" s="206"/>
      <c r="L139" s="206"/>
      <c r="M139" s="206"/>
    </row>
    <row r="140" spans="1:13" ht="12.75">
      <c r="A140" s="216" t="s">
        <v>759</v>
      </c>
      <c r="B140" s="206" t="s">
        <v>367</v>
      </c>
      <c r="C140" s="206"/>
      <c r="D140" s="206"/>
      <c r="E140" s="206"/>
      <c r="F140" s="206"/>
      <c r="G140" s="206"/>
      <c r="H140" s="206"/>
      <c r="I140" s="206"/>
      <c r="J140" s="206"/>
      <c r="K140" s="206"/>
      <c r="L140" s="206"/>
      <c r="M140" s="206"/>
    </row>
    <row r="141" spans="1:13" ht="12.75">
      <c r="A141" s="216" t="s">
        <v>758</v>
      </c>
      <c r="B141" s="206" t="s">
        <v>367</v>
      </c>
      <c r="C141" s="206"/>
      <c r="D141" s="206"/>
      <c r="E141" s="206"/>
      <c r="F141" s="206"/>
      <c r="G141" s="206"/>
      <c r="H141" s="206"/>
      <c r="I141" s="206"/>
      <c r="J141" s="206"/>
      <c r="K141" s="206"/>
      <c r="L141" s="206"/>
      <c r="M141" s="206"/>
    </row>
    <row r="142" spans="1:13" ht="12.75">
      <c r="A142" s="216" t="s">
        <v>757</v>
      </c>
      <c r="B142" s="206" t="s">
        <v>367</v>
      </c>
      <c r="C142" s="206"/>
      <c r="D142" s="206"/>
      <c r="E142" s="206"/>
      <c r="F142" s="206"/>
      <c r="G142" s="206"/>
      <c r="H142" s="206"/>
      <c r="I142" s="206"/>
      <c r="J142" s="206"/>
      <c r="K142" s="206"/>
      <c r="L142" s="206"/>
      <c r="M142" s="206"/>
    </row>
    <row r="143" spans="1:13" ht="12.75">
      <c r="A143" s="216" t="s">
        <v>756</v>
      </c>
      <c r="B143" s="206" t="s">
        <v>367</v>
      </c>
      <c r="C143" s="206"/>
      <c r="D143" s="206"/>
      <c r="E143" s="206"/>
      <c r="F143" s="206"/>
      <c r="G143" s="206"/>
      <c r="H143" s="206"/>
      <c r="I143" s="206"/>
      <c r="J143" s="206"/>
      <c r="K143" s="206"/>
      <c r="L143" s="206"/>
      <c r="M143" s="206"/>
    </row>
    <row r="144" spans="1:13" ht="12.75">
      <c r="A144" s="216" t="s">
        <v>755</v>
      </c>
      <c r="B144" s="206" t="s">
        <v>367</v>
      </c>
      <c r="C144" s="206"/>
      <c r="D144" s="206"/>
      <c r="E144" s="206"/>
      <c r="F144" s="206"/>
      <c r="G144" s="206"/>
      <c r="H144" s="206"/>
      <c r="I144" s="206"/>
      <c r="J144" s="206"/>
      <c r="K144" s="206"/>
      <c r="L144" s="206"/>
      <c r="M144" s="206"/>
    </row>
    <row r="145" spans="1:13" ht="12.75">
      <c r="A145" s="216" t="s">
        <v>754</v>
      </c>
      <c r="B145" s="206" t="s">
        <v>367</v>
      </c>
      <c r="C145" s="206"/>
      <c r="D145" s="206"/>
      <c r="E145" s="206"/>
      <c r="F145" s="206"/>
      <c r="G145" s="206"/>
      <c r="H145" s="206"/>
      <c r="I145" s="206"/>
      <c r="J145" s="206"/>
      <c r="K145" s="206"/>
      <c r="L145" s="206"/>
      <c r="M145" s="206"/>
    </row>
    <row r="146" spans="1:13" ht="12.75">
      <c r="A146" s="216" t="s">
        <v>753</v>
      </c>
      <c r="B146" s="206" t="s">
        <v>367</v>
      </c>
      <c r="C146" s="206"/>
      <c r="D146" s="206"/>
      <c r="E146" s="206"/>
      <c r="F146" s="206"/>
      <c r="G146" s="206"/>
      <c r="H146" s="206"/>
      <c r="I146" s="206"/>
      <c r="J146" s="206"/>
      <c r="K146" s="206"/>
      <c r="L146" s="206"/>
      <c r="M146" s="206"/>
    </row>
    <row r="147" spans="1:13" ht="12.75">
      <c r="A147" s="216" t="s">
        <v>752</v>
      </c>
      <c r="B147" s="206" t="s">
        <v>367</v>
      </c>
      <c r="C147" s="206"/>
      <c r="D147" s="206"/>
      <c r="E147" s="206"/>
      <c r="F147" s="206"/>
      <c r="G147" s="206"/>
      <c r="H147" s="206"/>
      <c r="I147" s="206"/>
      <c r="J147" s="206"/>
      <c r="K147" s="206"/>
      <c r="L147" s="206"/>
      <c r="M147" s="206"/>
    </row>
    <row r="148" spans="1:13" ht="12.75">
      <c r="A148" s="216" t="s">
        <v>751</v>
      </c>
      <c r="B148" s="206" t="s">
        <v>367</v>
      </c>
      <c r="C148" s="206"/>
      <c r="D148" s="206"/>
      <c r="E148" s="206"/>
      <c r="F148" s="206"/>
      <c r="G148" s="206"/>
      <c r="H148" s="206"/>
      <c r="I148" s="206"/>
      <c r="J148" s="206"/>
      <c r="K148" s="206"/>
      <c r="L148" s="206"/>
      <c r="M148" s="206"/>
    </row>
    <row r="149" spans="1:13" ht="12.75">
      <c r="A149" s="212" t="s">
        <v>381</v>
      </c>
      <c r="B149" s="206" t="s">
        <v>367</v>
      </c>
      <c r="C149" s="206"/>
      <c r="D149" s="206"/>
      <c r="E149" s="206"/>
      <c r="F149" s="206"/>
      <c r="G149" s="206"/>
      <c r="H149" s="206"/>
      <c r="I149" s="206"/>
      <c r="J149" s="211"/>
      <c r="K149" s="211"/>
      <c r="L149" s="206"/>
      <c r="M149" s="206"/>
    </row>
    <row r="150" spans="1:13" ht="12.75">
      <c r="A150" s="211" t="s">
        <v>448</v>
      </c>
      <c r="B150" s="211" t="s">
        <v>372</v>
      </c>
      <c r="C150" s="206"/>
      <c r="D150" s="206"/>
      <c r="E150" s="206"/>
      <c r="F150" s="206"/>
      <c r="G150" s="206"/>
      <c r="H150" s="206"/>
      <c r="I150" s="206"/>
      <c r="J150" s="206"/>
      <c r="K150" s="206"/>
      <c r="L150" s="206"/>
      <c r="M150" s="206"/>
    </row>
    <row r="151" ht="12.75">
      <c r="A151" s="210"/>
    </row>
    <row r="153" spans="1:10" ht="12.75">
      <c r="A153" s="203" t="s">
        <v>483</v>
      </c>
      <c r="B153" s="200"/>
      <c r="C153" s="199"/>
      <c r="D153" s="199"/>
      <c r="E153" s="199"/>
      <c r="F153" s="199"/>
      <c r="G153" s="199"/>
      <c r="H153" s="199"/>
      <c r="I153" s="199"/>
      <c r="J153" s="199"/>
    </row>
    <row r="154" spans="1:12" ht="25.5">
      <c r="A154" s="209"/>
      <c r="B154" s="208" t="s">
        <v>664</v>
      </c>
      <c r="C154" s="208" t="s">
        <v>600</v>
      </c>
      <c r="D154" s="208" t="s">
        <v>663</v>
      </c>
      <c r="E154" s="208" t="s">
        <v>662</v>
      </c>
      <c r="F154" s="208" t="s">
        <v>607</v>
      </c>
      <c r="G154" s="208" t="s">
        <v>606</v>
      </c>
      <c r="H154" s="208" t="s">
        <v>397</v>
      </c>
      <c r="I154" s="208" t="s">
        <v>348</v>
      </c>
      <c r="J154" s="208" t="s">
        <v>349</v>
      </c>
      <c r="K154" s="208" t="s">
        <v>421</v>
      </c>
      <c r="L154" s="213" t="s">
        <v>661</v>
      </c>
    </row>
    <row r="155" spans="1:11" ht="12.75">
      <c r="A155" s="207" t="s">
        <v>484</v>
      </c>
      <c r="B155" s="150"/>
      <c r="C155" s="150"/>
      <c r="D155" s="150"/>
      <c r="E155" s="150"/>
      <c r="F155" s="150"/>
      <c r="G155" s="150"/>
      <c r="H155" s="150"/>
      <c r="I155" s="206"/>
      <c r="J155" s="206"/>
      <c r="K155" s="204"/>
    </row>
    <row r="156" spans="1:11" ht="12.75">
      <c r="A156" s="207" t="s">
        <v>485</v>
      </c>
      <c r="B156" s="150"/>
      <c r="C156" s="204"/>
      <c r="D156" s="204"/>
      <c r="E156" s="204"/>
      <c r="F156" s="204"/>
      <c r="G156" s="204"/>
      <c r="H156" s="204"/>
      <c r="I156" s="206"/>
      <c r="J156" s="206"/>
      <c r="K156" s="204"/>
    </row>
    <row r="157" spans="1:11" ht="25.5">
      <c r="A157" s="207" t="s">
        <v>486</v>
      </c>
      <c r="B157" s="150"/>
      <c r="C157" s="204"/>
      <c r="D157" s="204"/>
      <c r="E157" s="204"/>
      <c r="F157" s="204"/>
      <c r="G157" s="204"/>
      <c r="H157" s="204"/>
      <c r="I157" s="206"/>
      <c r="J157" s="205"/>
      <c r="K157" s="204"/>
    </row>
    <row r="158" spans="1:11" ht="12.75">
      <c r="A158" s="209" t="s">
        <v>487</v>
      </c>
      <c r="B158" s="150"/>
      <c r="C158" s="204"/>
      <c r="D158" s="204"/>
      <c r="E158" s="204"/>
      <c r="F158" s="204"/>
      <c r="G158" s="204"/>
      <c r="H158" s="204"/>
      <c r="I158" s="206"/>
      <c r="J158" s="205"/>
      <c r="K158" s="254"/>
    </row>
    <row r="159" spans="1:12" ht="12.75">
      <c r="A159" s="203"/>
      <c r="B159" s="200"/>
      <c r="C159" s="199"/>
      <c r="D159" s="199"/>
      <c r="E159" s="199"/>
      <c r="F159" s="199"/>
      <c r="G159" s="199"/>
      <c r="H159" s="199"/>
      <c r="I159" s="202"/>
      <c r="J159" s="199"/>
      <c r="K159" s="198"/>
      <c r="L159" s="198"/>
    </row>
    <row r="160" spans="1:12" ht="12.75">
      <c r="A160" s="201"/>
      <c r="B160" s="200"/>
      <c r="C160" s="199"/>
      <c r="D160" s="199"/>
      <c r="E160" s="199"/>
      <c r="F160" s="199"/>
      <c r="G160" s="199"/>
      <c r="H160" s="199"/>
      <c r="I160" s="199"/>
      <c r="J160" s="199"/>
      <c r="K160" s="198"/>
      <c r="L160" s="198"/>
    </row>
  </sheetData>
  <sheetProtection/>
  <printOptions gridLines="1" horizontalCentered="1" verticalCentered="1"/>
  <pageMargins left="0.8" right="0.22" top="0.58" bottom="0.4" header="0.56" footer="0.21"/>
  <pageSetup horizontalDpi="600" verticalDpi="600" orientation="portrait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37"/>
  <sheetViews>
    <sheetView view="pageBreakPreview" zoomScale="60" zoomScaleNormal="85" zoomScalePageLayoutView="0" workbookViewId="0" topLeftCell="A124">
      <selection activeCell="F135" sqref="F135"/>
    </sheetView>
  </sheetViews>
  <sheetFormatPr defaultColWidth="9.140625" defaultRowHeight="12.75"/>
  <cols>
    <col min="1" max="1" width="51.57421875" style="268" customWidth="1"/>
    <col min="2" max="2" width="15.421875" style="268" bestFit="1" customWidth="1"/>
    <col min="3" max="3" width="12.7109375" style="268" bestFit="1" customWidth="1"/>
    <col min="4" max="4" width="18.00390625" style="268" customWidth="1"/>
    <col min="5" max="5" width="13.421875" style="268" customWidth="1"/>
    <col min="6" max="6" width="19.00390625" style="268" bestFit="1" customWidth="1"/>
    <col min="7" max="9" width="12.7109375" style="268" bestFit="1" customWidth="1"/>
    <col min="10" max="10" width="11.8515625" style="268" bestFit="1" customWidth="1"/>
    <col min="11" max="11" width="17.57421875" style="268" customWidth="1"/>
    <col min="12" max="12" width="15.421875" style="268" bestFit="1" customWidth="1"/>
    <col min="13" max="13" width="14.140625" style="268" customWidth="1"/>
    <col min="14" max="14" width="15.57421875" style="268" customWidth="1"/>
    <col min="15" max="15" width="15.7109375" style="268" customWidth="1"/>
    <col min="16" max="16" width="15.421875" style="268" bestFit="1" customWidth="1"/>
    <col min="17" max="17" width="15.140625" style="288" customWidth="1"/>
    <col min="18" max="18" width="18.00390625" style="288" customWidth="1"/>
    <col min="19" max="20" width="9.28125" style="268" bestFit="1" customWidth="1"/>
    <col min="21" max="16384" width="9.140625" style="268" customWidth="1"/>
  </cols>
  <sheetData>
    <row r="1" spans="1:18" ht="18" customHeight="1">
      <c r="A1" s="306" t="s">
        <v>656</v>
      </c>
      <c r="B1" s="191"/>
      <c r="C1" s="191"/>
      <c r="D1" s="265"/>
      <c r="E1" s="265"/>
      <c r="F1" s="265"/>
      <c r="G1" s="266"/>
      <c r="H1" s="265"/>
      <c r="I1" s="265"/>
      <c r="J1" s="265"/>
      <c r="K1" s="265"/>
      <c r="L1" s="265"/>
      <c r="M1" s="265"/>
      <c r="N1" s="265"/>
      <c r="O1" s="265"/>
      <c r="P1" s="265"/>
      <c r="Q1" s="267"/>
      <c r="R1" s="267"/>
    </row>
    <row r="2" spans="1:18" ht="18" customHeight="1">
      <c r="A2" s="307" t="s">
        <v>655</v>
      </c>
      <c r="B2" s="269"/>
      <c r="C2" s="269"/>
      <c r="D2" s="265"/>
      <c r="E2" s="265"/>
      <c r="F2" s="265"/>
      <c r="G2" s="266"/>
      <c r="H2" s="265"/>
      <c r="I2" s="265"/>
      <c r="J2" s="265"/>
      <c r="K2" s="265"/>
      <c r="L2" s="265"/>
      <c r="M2" s="265"/>
      <c r="N2" s="265"/>
      <c r="O2" s="265"/>
      <c r="P2" s="265"/>
      <c r="Q2" s="619" t="s">
        <v>680</v>
      </c>
      <c r="R2" s="619"/>
    </row>
    <row r="3" spans="1:18" ht="18" customHeight="1">
      <c r="A3" s="190"/>
      <c r="B3" s="190"/>
      <c r="C3" s="190"/>
      <c r="D3" s="267">
        <v>1</v>
      </c>
      <c r="E3" s="270" t="s">
        <v>436</v>
      </c>
      <c r="F3" s="271"/>
      <c r="G3" s="272"/>
      <c r="H3" s="272"/>
      <c r="I3" s="265"/>
      <c r="J3" s="273"/>
      <c r="K3" s="273"/>
      <c r="L3" s="274" t="s">
        <v>562</v>
      </c>
      <c r="M3" s="273"/>
      <c r="N3" s="273"/>
      <c r="O3" s="273"/>
      <c r="P3" s="265"/>
      <c r="Q3" s="267"/>
      <c r="R3" s="267"/>
    </row>
    <row r="4" spans="1:18" ht="18" customHeight="1">
      <c r="A4" s="275"/>
      <c r="B4" s="275"/>
      <c r="C4" s="275"/>
      <c r="D4" s="276">
        <v>2</v>
      </c>
      <c r="E4" s="270" t="s">
        <v>437</v>
      </c>
      <c r="F4" s="271"/>
      <c r="G4" s="272"/>
      <c r="H4" s="272"/>
      <c r="I4" s="265"/>
      <c r="J4" s="273"/>
      <c r="K4" s="265"/>
      <c r="L4" s="277" t="s">
        <v>563</v>
      </c>
      <c r="M4" s="273"/>
      <c r="N4" s="273"/>
      <c r="O4" s="273"/>
      <c r="P4" s="265"/>
      <c r="Q4" s="267"/>
      <c r="R4" s="267"/>
    </row>
    <row r="5" spans="1:18" ht="18" customHeight="1">
      <c r="A5" s="275"/>
      <c r="B5" s="275"/>
      <c r="C5" s="275"/>
      <c r="D5" s="276">
        <v>3</v>
      </c>
      <c r="E5" s="270" t="s">
        <v>438</v>
      </c>
      <c r="F5" s="271"/>
      <c r="G5" s="272"/>
      <c r="H5" s="272"/>
      <c r="I5" s="265"/>
      <c r="J5" s="273"/>
      <c r="K5" s="265"/>
      <c r="L5" s="277" t="s">
        <v>685</v>
      </c>
      <c r="M5" s="273"/>
      <c r="N5" s="273"/>
      <c r="O5" s="273"/>
      <c r="P5" s="265"/>
      <c r="Q5" s="267"/>
      <c r="R5" s="267"/>
    </row>
    <row r="6" spans="1:18" ht="33" customHeight="1">
      <c r="A6" s="612" t="s">
        <v>765</v>
      </c>
      <c r="B6" s="612"/>
      <c r="C6" s="612"/>
      <c r="D6" s="612"/>
      <c r="E6" s="612"/>
      <c r="F6" s="612"/>
      <c r="G6" s="612"/>
      <c r="H6" s="612"/>
      <c r="I6" s="612"/>
      <c r="J6" s="612"/>
      <c r="K6" s="278"/>
      <c r="L6" s="265"/>
      <c r="M6" s="278"/>
      <c r="N6" s="278"/>
      <c r="O6" s="278"/>
      <c r="P6" s="278"/>
      <c r="Q6" s="622"/>
      <c r="R6" s="622"/>
    </row>
    <row r="7" spans="1:18" ht="78.75">
      <c r="A7" s="183" t="s">
        <v>640</v>
      </c>
      <c r="B7" s="308" t="s">
        <v>639</v>
      </c>
      <c r="C7" s="308" t="s">
        <v>638</v>
      </c>
      <c r="D7" s="309" t="s">
        <v>654</v>
      </c>
      <c r="E7" s="309" t="s">
        <v>504</v>
      </c>
      <c r="F7" s="309" t="s">
        <v>505</v>
      </c>
      <c r="G7" s="310" t="s">
        <v>635</v>
      </c>
      <c r="H7" s="310" t="s">
        <v>630</v>
      </c>
      <c r="I7" s="310" t="s">
        <v>634</v>
      </c>
      <c r="J7" s="310" t="s">
        <v>633</v>
      </c>
      <c r="K7" s="310" t="s">
        <v>632</v>
      </c>
      <c r="L7" s="310" t="s">
        <v>631</v>
      </c>
      <c r="M7" s="309" t="s">
        <v>508</v>
      </c>
      <c r="N7" s="309" t="s">
        <v>507</v>
      </c>
      <c r="O7" s="309" t="s">
        <v>506</v>
      </c>
      <c r="P7" s="310" t="s">
        <v>630</v>
      </c>
      <c r="Q7" s="607" t="s">
        <v>362</v>
      </c>
      <c r="R7" s="607" t="s">
        <v>363</v>
      </c>
    </row>
    <row r="8" spans="1:18" ht="20.25">
      <c r="A8" s="183"/>
      <c r="B8" s="311" t="s">
        <v>372</v>
      </c>
      <c r="C8" s="311" t="s">
        <v>368</v>
      </c>
      <c r="D8" s="312" t="s">
        <v>367</v>
      </c>
      <c r="E8" s="313" t="s">
        <v>627</v>
      </c>
      <c r="F8" s="313" t="s">
        <v>627</v>
      </c>
      <c r="G8" s="313" t="s">
        <v>488</v>
      </c>
      <c r="H8" s="313" t="s">
        <v>488</v>
      </c>
      <c r="I8" s="313" t="s">
        <v>488</v>
      </c>
      <c r="J8" s="313" t="s">
        <v>488</v>
      </c>
      <c r="K8" s="313" t="s">
        <v>488</v>
      </c>
      <c r="L8" s="313" t="s">
        <v>501</v>
      </c>
      <c r="M8" s="313" t="s">
        <v>488</v>
      </c>
      <c r="N8" s="313" t="s">
        <v>488</v>
      </c>
      <c r="O8" s="313" t="s">
        <v>627</v>
      </c>
      <c r="P8" s="313" t="s">
        <v>627</v>
      </c>
      <c r="Q8" s="607"/>
      <c r="R8" s="607"/>
    </row>
    <row r="9" spans="1:18" ht="20.25">
      <c r="A9" s="279" t="s">
        <v>626</v>
      </c>
      <c r="B9" s="275">
        <v>100</v>
      </c>
      <c r="C9" s="275"/>
      <c r="D9" s="281">
        <v>669.36</v>
      </c>
      <c r="E9" s="281"/>
      <c r="F9" s="282">
        <f>O9-P9</f>
        <v>0</v>
      </c>
      <c r="G9" s="281">
        <f>'[1]ARR13-14TRT-21(PY,CY&amp;EY)'!D96</f>
        <v>0</v>
      </c>
      <c r="H9" s="281">
        <v>92.45</v>
      </c>
      <c r="I9" s="281"/>
      <c r="J9" s="281"/>
      <c r="K9" s="281">
        <f>SUM(G9:J9)</f>
        <v>92.45</v>
      </c>
      <c r="L9" s="281">
        <f>K9*D9/1000</f>
        <v>61.882332000000005</v>
      </c>
      <c r="M9" s="281">
        <v>0</v>
      </c>
      <c r="N9" s="281">
        <f aca="true" t="shared" si="0" ref="N9:N21">K9+M9</f>
        <v>92.45</v>
      </c>
      <c r="O9" s="281">
        <f>N9*D9/1000</f>
        <v>61.882332000000005</v>
      </c>
      <c r="P9" s="282">
        <f>D9*H9/1000</f>
        <v>61.882332000000005</v>
      </c>
      <c r="Q9" s="283">
        <f aca="true" t="shared" si="1" ref="Q9:Q21">F9/O9</f>
        <v>0</v>
      </c>
      <c r="R9" s="283">
        <f aca="true" t="shared" si="2" ref="R9:R21">P9/L9</f>
        <v>1</v>
      </c>
    </row>
    <row r="10" spans="1:18" ht="20.25">
      <c r="A10" s="279" t="s">
        <v>653</v>
      </c>
      <c r="B10" s="275">
        <v>100</v>
      </c>
      <c r="C10" s="275"/>
      <c r="D10" s="281">
        <v>295.2</v>
      </c>
      <c r="E10" s="281"/>
      <c r="F10" s="282">
        <f>O10-P10</f>
        <v>0</v>
      </c>
      <c r="G10" s="281"/>
      <c r="H10" s="281">
        <v>71.24</v>
      </c>
      <c r="I10" s="281"/>
      <c r="J10" s="281"/>
      <c r="K10" s="281">
        <f>H10</f>
        <v>71.24</v>
      </c>
      <c r="L10" s="281">
        <f>K10*D10/1000</f>
        <v>21.030047999999997</v>
      </c>
      <c r="M10" s="281">
        <v>0</v>
      </c>
      <c r="N10" s="281">
        <f t="shared" si="0"/>
        <v>71.24</v>
      </c>
      <c r="O10" s="281">
        <f>N10*D10/1000</f>
        <v>21.030047999999997</v>
      </c>
      <c r="P10" s="282">
        <f>D10*H10/1000</f>
        <v>21.030047999999997</v>
      </c>
      <c r="Q10" s="283">
        <f t="shared" si="1"/>
        <v>0</v>
      </c>
      <c r="R10" s="283">
        <f t="shared" si="2"/>
        <v>1</v>
      </c>
    </row>
    <row r="11" spans="1:18" ht="20.25">
      <c r="A11" s="279" t="s">
        <v>652</v>
      </c>
      <c r="B11" s="275">
        <v>100</v>
      </c>
      <c r="C11" s="275"/>
      <c r="D11" s="281">
        <v>1631.96</v>
      </c>
      <c r="E11" s="281"/>
      <c r="F11" s="282">
        <f>O11-P11</f>
        <v>0</v>
      </c>
      <c r="G11" s="281">
        <f>'[1]ARR13-14TRT-21(PY,CY&amp;EY)'!D98</f>
        <v>0</v>
      </c>
      <c r="H11" s="281">
        <v>58.68</v>
      </c>
      <c r="I11" s="281"/>
      <c r="J11" s="281"/>
      <c r="K11" s="281">
        <f>H11</f>
        <v>58.68</v>
      </c>
      <c r="L11" s="281">
        <f>K11*D11/1000</f>
        <v>95.76341280000001</v>
      </c>
      <c r="M11" s="281">
        <v>0</v>
      </c>
      <c r="N11" s="281">
        <f t="shared" si="0"/>
        <v>58.68</v>
      </c>
      <c r="O11" s="281">
        <f>N11*D11/1000</f>
        <v>95.76341280000001</v>
      </c>
      <c r="P11" s="282">
        <f>D11*H11/1000</f>
        <v>95.76341280000001</v>
      </c>
      <c r="Q11" s="283">
        <f t="shared" si="1"/>
        <v>0</v>
      </c>
      <c r="R11" s="283">
        <f t="shared" si="2"/>
        <v>1</v>
      </c>
    </row>
    <row r="12" spans="1:18" ht="20.25">
      <c r="A12" s="279" t="s">
        <v>651</v>
      </c>
      <c r="B12" s="275">
        <v>100</v>
      </c>
      <c r="C12" s="275"/>
      <c r="D12" s="281">
        <v>885.47</v>
      </c>
      <c r="E12" s="281"/>
      <c r="F12" s="282">
        <f>O12-P12</f>
        <v>0</v>
      </c>
      <c r="G12" s="281">
        <f>'[1]ARR13-14TRT-21(PY,CY&amp;EY)'!D99</f>
        <v>0</v>
      </c>
      <c r="H12" s="281">
        <v>66.6</v>
      </c>
      <c r="I12" s="281"/>
      <c r="J12" s="281"/>
      <c r="K12" s="281">
        <f>H12</f>
        <v>66.6</v>
      </c>
      <c r="L12" s="281">
        <f>K12*D12/1000</f>
        <v>58.972302</v>
      </c>
      <c r="M12" s="281">
        <v>0</v>
      </c>
      <c r="N12" s="281">
        <f t="shared" si="0"/>
        <v>66.6</v>
      </c>
      <c r="O12" s="281">
        <f>N12*D12/1000</f>
        <v>58.972302</v>
      </c>
      <c r="P12" s="282">
        <f>D12*H12/1000</f>
        <v>58.972302</v>
      </c>
      <c r="Q12" s="283">
        <f t="shared" si="1"/>
        <v>0</v>
      </c>
      <c r="R12" s="283">
        <f t="shared" si="2"/>
        <v>1</v>
      </c>
    </row>
    <row r="13" spans="1:18" ht="20.25">
      <c r="A13" s="279" t="s">
        <v>625</v>
      </c>
      <c r="B13" s="275">
        <v>100</v>
      </c>
      <c r="C13" s="275"/>
      <c r="D13" s="281">
        <v>852.31</v>
      </c>
      <c r="E13" s="281"/>
      <c r="F13" s="282">
        <f>O13-P13</f>
        <v>0</v>
      </c>
      <c r="G13" s="281">
        <f>'[1]ARR13-14TRT-21(PY,CY&amp;EY)'!D100</f>
        <v>0</v>
      </c>
      <c r="H13" s="281">
        <v>36.03</v>
      </c>
      <c r="I13" s="281"/>
      <c r="J13" s="281"/>
      <c r="K13" s="281">
        <f>H13</f>
        <v>36.03</v>
      </c>
      <c r="L13" s="281">
        <f>K13*D13/1000</f>
        <v>30.708729299999998</v>
      </c>
      <c r="M13" s="281">
        <v>0</v>
      </c>
      <c r="N13" s="281">
        <f t="shared" si="0"/>
        <v>36.03</v>
      </c>
      <c r="O13" s="281">
        <f>N13*D13/1000</f>
        <v>30.708729299999998</v>
      </c>
      <c r="P13" s="282">
        <f>D13*H13/1000</f>
        <v>30.708729299999998</v>
      </c>
      <c r="Q13" s="283">
        <f t="shared" si="1"/>
        <v>0</v>
      </c>
      <c r="R13" s="283">
        <f t="shared" si="2"/>
        <v>1</v>
      </c>
    </row>
    <row r="14" spans="1:18" ht="20.25">
      <c r="A14" s="279" t="s">
        <v>396</v>
      </c>
      <c r="B14" s="275"/>
      <c r="C14" s="275"/>
      <c r="D14" s="260">
        <f>SUM(D9:D13)</f>
        <v>4334.299999999999</v>
      </c>
      <c r="E14" s="281"/>
      <c r="F14" s="282"/>
      <c r="G14" s="281"/>
      <c r="H14" s="281">
        <f>'[1]ARR13-14TRT-21(PY,CY&amp;EY)'!E101</f>
        <v>0</v>
      </c>
      <c r="I14" s="281"/>
      <c r="J14" s="281"/>
      <c r="K14" s="281"/>
      <c r="L14" s="260">
        <f>SUM(L9:L13)</f>
        <v>268.35682410000004</v>
      </c>
      <c r="M14" s="281">
        <v>0</v>
      </c>
      <c r="N14" s="281">
        <f t="shared" si="0"/>
        <v>0</v>
      </c>
      <c r="O14" s="260">
        <f>SUM(O9:O13)</f>
        <v>268.35682410000004</v>
      </c>
      <c r="P14" s="284">
        <f>SUM(P9:P13)</f>
        <v>268.35682410000004</v>
      </c>
      <c r="Q14" s="283">
        <f t="shared" si="1"/>
        <v>0</v>
      </c>
      <c r="R14" s="283">
        <f t="shared" si="2"/>
        <v>1</v>
      </c>
    </row>
    <row r="15" spans="1:18" ht="20.25">
      <c r="A15" s="279" t="s">
        <v>624</v>
      </c>
      <c r="B15" s="275">
        <v>100</v>
      </c>
      <c r="C15" s="275"/>
      <c r="D15" s="281">
        <v>2445.11</v>
      </c>
      <c r="E15" s="281"/>
      <c r="F15" s="282">
        <f>O15-P15</f>
        <v>0</v>
      </c>
      <c r="G15" s="281"/>
      <c r="H15" s="281">
        <v>76.68</v>
      </c>
      <c r="I15" s="281">
        <f>'[1]ARR13-14TRT-21(PY,CY&amp;EY)'!F96</f>
        <v>0</v>
      </c>
      <c r="J15" s="281">
        <f>'[1]ARR13-14TRT-21(PY,CY&amp;EY)'!G96</f>
        <v>0</v>
      </c>
      <c r="K15" s="281">
        <f>H15</f>
        <v>76.68</v>
      </c>
      <c r="L15" s="281">
        <f>K15*D15/1000</f>
        <v>187.49103480000002</v>
      </c>
      <c r="M15" s="281">
        <v>0</v>
      </c>
      <c r="N15" s="281">
        <f t="shared" si="0"/>
        <v>76.68</v>
      </c>
      <c r="O15" s="281">
        <f>N15*D15/1000</f>
        <v>187.49103480000002</v>
      </c>
      <c r="P15" s="282">
        <f>D15*K15/1000</f>
        <v>187.49103480000002</v>
      </c>
      <c r="Q15" s="283">
        <f t="shared" si="1"/>
        <v>0</v>
      </c>
      <c r="R15" s="283">
        <f t="shared" si="2"/>
        <v>1</v>
      </c>
    </row>
    <row r="16" spans="1:18" ht="20.25">
      <c r="A16" s="279" t="s">
        <v>623</v>
      </c>
      <c r="B16" s="275">
        <v>100</v>
      </c>
      <c r="C16" s="275"/>
      <c r="D16" s="281">
        <v>235.12</v>
      </c>
      <c r="E16" s="281"/>
      <c r="F16" s="282">
        <f>O16-P16</f>
        <v>0</v>
      </c>
      <c r="G16" s="281">
        <f>'[1]ARR13-14TRT-21(PY,CY&amp;EY)'!D98</f>
        <v>0</v>
      </c>
      <c r="H16" s="281">
        <v>30.79</v>
      </c>
      <c r="I16" s="281">
        <f>'[1]ARR13-14TRT-21(PY,CY&amp;EY)'!F98</f>
        <v>0</v>
      </c>
      <c r="J16" s="281">
        <f>'[1]ARR13-14TRT-21(PY,CY&amp;EY)'!G98</f>
        <v>0</v>
      </c>
      <c r="K16" s="281">
        <f>H16</f>
        <v>30.79</v>
      </c>
      <c r="L16" s="281">
        <f>K16*D16/1000</f>
        <v>7.2393448</v>
      </c>
      <c r="M16" s="281">
        <v>0</v>
      </c>
      <c r="N16" s="281">
        <f t="shared" si="0"/>
        <v>30.79</v>
      </c>
      <c r="O16" s="281">
        <f>N16*D16/1000</f>
        <v>7.2393448</v>
      </c>
      <c r="P16" s="282">
        <f aca="true" t="shared" si="3" ref="P16:P21">D16*H16/1000</f>
        <v>7.2393448</v>
      </c>
      <c r="Q16" s="283">
        <f t="shared" si="1"/>
        <v>0</v>
      </c>
      <c r="R16" s="283">
        <f t="shared" si="2"/>
        <v>1</v>
      </c>
    </row>
    <row r="17" spans="1:18" ht="20.25">
      <c r="A17" s="279" t="s">
        <v>396</v>
      </c>
      <c r="B17" s="275"/>
      <c r="C17" s="275"/>
      <c r="D17" s="260">
        <f>SUM(D14:D16)</f>
        <v>7014.53</v>
      </c>
      <c r="E17" s="281"/>
      <c r="F17" s="282"/>
      <c r="G17" s="281">
        <f>'[1]ARR13-14TRT-21(PY,CY&amp;EY)'!D99</f>
        <v>0</v>
      </c>
      <c r="H17" s="281">
        <f>'[1]ARR13-14TRT-21(PY,CY&amp;EY)'!E104</f>
        <v>0</v>
      </c>
      <c r="I17" s="281">
        <f>'[1]ARR13-14TRT-21(PY,CY&amp;EY)'!F99</f>
        <v>0</v>
      </c>
      <c r="J17" s="281">
        <f>'[1]ARR13-14TRT-21(PY,CY&amp;EY)'!G99</f>
        <v>0</v>
      </c>
      <c r="K17" s="281"/>
      <c r="L17" s="260">
        <f>SUM(L14:L16)</f>
        <v>463.0872037000001</v>
      </c>
      <c r="M17" s="281">
        <v>0</v>
      </c>
      <c r="N17" s="281">
        <f t="shared" si="0"/>
        <v>0</v>
      </c>
      <c r="O17" s="260">
        <f>SUM(O14:O16)</f>
        <v>463.0872037000001</v>
      </c>
      <c r="P17" s="282">
        <f t="shared" si="3"/>
        <v>0</v>
      </c>
      <c r="Q17" s="283">
        <f t="shared" si="1"/>
        <v>0</v>
      </c>
      <c r="R17" s="283">
        <f t="shared" si="2"/>
        <v>0</v>
      </c>
    </row>
    <row r="18" spans="1:18" ht="20.25">
      <c r="A18" s="279" t="s">
        <v>450</v>
      </c>
      <c r="B18" s="275">
        <v>100</v>
      </c>
      <c r="C18" s="275"/>
      <c r="D18" s="260">
        <v>2544.844</v>
      </c>
      <c r="E18" s="281"/>
      <c r="F18" s="282">
        <f>O18-P18</f>
        <v>0</v>
      </c>
      <c r="G18" s="281"/>
      <c r="H18" s="281">
        <v>209.38</v>
      </c>
      <c r="I18" s="281"/>
      <c r="J18" s="281"/>
      <c r="K18" s="281">
        <f aca="true" t="shared" si="4" ref="K18:K28">H18</f>
        <v>209.38</v>
      </c>
      <c r="L18" s="260">
        <f aca="true" t="shared" si="5" ref="L18:L26">K18*D18/1000</f>
        <v>532.83943672</v>
      </c>
      <c r="M18" s="281">
        <v>0</v>
      </c>
      <c r="N18" s="281">
        <f t="shared" si="0"/>
        <v>209.38</v>
      </c>
      <c r="O18" s="260">
        <f>N18*D18/1000</f>
        <v>532.83943672</v>
      </c>
      <c r="P18" s="282">
        <f t="shared" si="3"/>
        <v>532.83943672</v>
      </c>
      <c r="Q18" s="283">
        <f t="shared" si="1"/>
        <v>0</v>
      </c>
      <c r="R18" s="283">
        <f t="shared" si="2"/>
        <v>1</v>
      </c>
    </row>
    <row r="19" spans="1:18" ht="20.25">
      <c r="A19" s="279" t="s">
        <v>386</v>
      </c>
      <c r="B19" s="275">
        <v>100</v>
      </c>
      <c r="C19" s="275"/>
      <c r="D19" s="260">
        <v>3406.5</v>
      </c>
      <c r="E19" s="281"/>
      <c r="F19" s="282">
        <f>O19-P19</f>
        <v>0</v>
      </c>
      <c r="G19" s="281"/>
      <c r="H19" s="281">
        <v>246.6</v>
      </c>
      <c r="I19" s="281"/>
      <c r="J19" s="281"/>
      <c r="K19" s="281">
        <f t="shared" si="4"/>
        <v>246.6</v>
      </c>
      <c r="L19" s="260">
        <f t="shared" si="5"/>
        <v>840.0429</v>
      </c>
      <c r="M19" s="281">
        <v>0</v>
      </c>
      <c r="N19" s="281">
        <f t="shared" si="0"/>
        <v>246.6</v>
      </c>
      <c r="O19" s="260">
        <f>N19*D19/1000</f>
        <v>840.0429</v>
      </c>
      <c r="P19" s="282">
        <f t="shared" si="3"/>
        <v>840.0429</v>
      </c>
      <c r="Q19" s="283">
        <f t="shared" si="1"/>
        <v>0</v>
      </c>
      <c r="R19" s="283">
        <f t="shared" si="2"/>
        <v>1</v>
      </c>
    </row>
    <row r="20" spans="1:18" ht="20.25">
      <c r="A20" s="279" t="s">
        <v>650</v>
      </c>
      <c r="B20" s="275"/>
      <c r="C20" s="275"/>
      <c r="D20" s="260">
        <v>16.45</v>
      </c>
      <c r="E20" s="281"/>
      <c r="F20" s="282">
        <f>O20-P20</f>
        <v>0</v>
      </c>
      <c r="G20" s="281"/>
      <c r="H20" s="281">
        <v>174.35</v>
      </c>
      <c r="I20" s="281"/>
      <c r="J20" s="281"/>
      <c r="K20" s="281">
        <f t="shared" si="4"/>
        <v>174.35</v>
      </c>
      <c r="L20" s="260">
        <f t="shared" si="5"/>
        <v>2.8680575</v>
      </c>
      <c r="M20" s="281">
        <v>0</v>
      </c>
      <c r="N20" s="281">
        <f t="shared" si="0"/>
        <v>174.35</v>
      </c>
      <c r="O20" s="260">
        <f>N20*D20/1000</f>
        <v>2.8680575</v>
      </c>
      <c r="P20" s="284">
        <f t="shared" si="3"/>
        <v>2.8680575</v>
      </c>
      <c r="Q20" s="283">
        <f t="shared" si="1"/>
        <v>0</v>
      </c>
      <c r="R20" s="283">
        <f t="shared" si="2"/>
        <v>1</v>
      </c>
    </row>
    <row r="21" spans="1:18" ht="20.25">
      <c r="A21" s="285" t="s">
        <v>622</v>
      </c>
      <c r="B21" s="275">
        <v>100</v>
      </c>
      <c r="C21" s="275"/>
      <c r="D21" s="281">
        <f>243.45+93.12</f>
        <v>336.57</v>
      </c>
      <c r="E21" s="281"/>
      <c r="F21" s="282">
        <f>O21-P21</f>
        <v>0</v>
      </c>
      <c r="G21" s="281">
        <f>G23/2096.61*1000</f>
        <v>0</v>
      </c>
      <c r="H21" s="281">
        <v>368</v>
      </c>
      <c r="I21" s="281">
        <f>'[1]ARR13-14TRT-21(PY,CY&amp;EY)'!F102</f>
        <v>0</v>
      </c>
      <c r="J21" s="281">
        <f>'[1]ARR13-14TRT-21(PY,CY&amp;EY)'!G102</f>
        <v>0</v>
      </c>
      <c r="K21" s="281">
        <f t="shared" si="4"/>
        <v>368</v>
      </c>
      <c r="L21" s="281">
        <f t="shared" si="5"/>
        <v>123.85776</v>
      </c>
      <c r="M21" s="281">
        <v>0</v>
      </c>
      <c r="N21" s="281">
        <f t="shared" si="0"/>
        <v>368</v>
      </c>
      <c r="O21" s="281">
        <f>N21*D21/1000</f>
        <v>123.85776</v>
      </c>
      <c r="P21" s="282">
        <f t="shared" si="3"/>
        <v>123.85776</v>
      </c>
      <c r="Q21" s="283">
        <f t="shared" si="1"/>
        <v>0</v>
      </c>
      <c r="R21" s="283">
        <f t="shared" si="2"/>
        <v>1</v>
      </c>
    </row>
    <row r="22" spans="1:18" ht="20.25">
      <c r="A22" s="285" t="s">
        <v>768</v>
      </c>
      <c r="B22" s="275">
        <v>100</v>
      </c>
      <c r="C22" s="275"/>
      <c r="D22" s="281">
        <f>640.12-10.28</f>
        <v>629.84</v>
      </c>
      <c r="E22" s="281"/>
      <c r="F22" s="282"/>
      <c r="G22" s="281"/>
      <c r="H22" s="281">
        <v>140</v>
      </c>
      <c r="I22" s="281"/>
      <c r="J22" s="281"/>
      <c r="K22" s="281">
        <f t="shared" si="4"/>
        <v>140</v>
      </c>
      <c r="L22" s="281">
        <f t="shared" si="5"/>
        <v>88.17760000000001</v>
      </c>
      <c r="M22" s="281"/>
      <c r="N22" s="281"/>
      <c r="O22" s="281">
        <f>L22</f>
        <v>88.17760000000001</v>
      </c>
      <c r="P22" s="282"/>
      <c r="Q22" s="283"/>
      <c r="R22" s="283"/>
    </row>
    <row r="23" spans="1:18" ht="20.25">
      <c r="A23" s="279" t="s">
        <v>769</v>
      </c>
      <c r="B23" s="275">
        <v>100</v>
      </c>
      <c r="C23" s="275"/>
      <c r="D23" s="281">
        <v>152.55</v>
      </c>
      <c r="E23" s="281"/>
      <c r="F23" s="282">
        <f>O23-P23</f>
        <v>0</v>
      </c>
      <c r="G23" s="281"/>
      <c r="H23" s="586">
        <v>40.3</v>
      </c>
      <c r="I23" s="281">
        <f>'[1]ARR13-14TRT-21(PY,CY&amp;EY)'!F103</f>
        <v>0</v>
      </c>
      <c r="J23" s="281">
        <f>'[1]ARR13-14TRT-21(PY,CY&amp;EY)'!G103</f>
        <v>0</v>
      </c>
      <c r="K23" s="281">
        <f t="shared" si="4"/>
        <v>40.3</v>
      </c>
      <c r="L23" s="281">
        <f t="shared" si="5"/>
        <v>6.147765000000001</v>
      </c>
      <c r="M23" s="281">
        <v>0</v>
      </c>
      <c r="N23" s="281">
        <f aca="true" t="shared" si="6" ref="N23:N42">K23+M23</f>
        <v>40.3</v>
      </c>
      <c r="O23" s="281">
        <f aca="true" t="shared" si="7" ref="O23:O28">N23*D23/1000</f>
        <v>6.147765000000001</v>
      </c>
      <c r="P23" s="282">
        <f aca="true" t="shared" si="8" ref="P23:P41">D23*H23/1000</f>
        <v>6.147765000000001</v>
      </c>
      <c r="Q23" s="283">
        <f aca="true" t="shared" si="9" ref="Q23:Q43">F23/O23</f>
        <v>0</v>
      </c>
      <c r="R23" s="283">
        <f aca="true" t="shared" si="10" ref="R23:R43">P23/L23</f>
        <v>1</v>
      </c>
    </row>
    <row r="24" spans="1:18" ht="20.25">
      <c r="A24" s="279" t="s">
        <v>20</v>
      </c>
      <c r="B24" s="275">
        <v>100</v>
      </c>
      <c r="C24" s="275"/>
      <c r="D24" s="281">
        <v>3329.17</v>
      </c>
      <c r="E24" s="281"/>
      <c r="F24" s="282">
        <f>O24-P24</f>
        <v>0</v>
      </c>
      <c r="G24" s="281"/>
      <c r="H24" s="281">
        <v>184.87</v>
      </c>
      <c r="I24" s="281">
        <f>'[1]ARR13-14TRT-21(PY,CY&amp;EY)'!F104</f>
        <v>0</v>
      </c>
      <c r="J24" s="281"/>
      <c r="K24" s="281">
        <f t="shared" si="4"/>
        <v>184.87</v>
      </c>
      <c r="L24" s="281">
        <f t="shared" si="5"/>
        <v>615.4636579</v>
      </c>
      <c r="M24" s="281">
        <v>0</v>
      </c>
      <c r="N24" s="281">
        <f t="shared" si="6"/>
        <v>184.87</v>
      </c>
      <c r="O24" s="281">
        <f t="shared" si="7"/>
        <v>615.4636579</v>
      </c>
      <c r="P24" s="282">
        <f t="shared" si="8"/>
        <v>615.4636579</v>
      </c>
      <c r="Q24" s="283">
        <f t="shared" si="9"/>
        <v>0</v>
      </c>
      <c r="R24" s="283">
        <f t="shared" si="10"/>
        <v>1</v>
      </c>
    </row>
    <row r="25" spans="1:18" ht="20.25">
      <c r="A25" s="279" t="s">
        <v>509</v>
      </c>
      <c r="B25" s="275">
        <v>100</v>
      </c>
      <c r="C25" s="275"/>
      <c r="D25" s="281">
        <v>97.34</v>
      </c>
      <c r="E25" s="281"/>
      <c r="F25" s="282">
        <f>O25-P25</f>
        <v>0</v>
      </c>
      <c r="G25" s="281"/>
      <c r="H25" s="281">
        <v>634.63</v>
      </c>
      <c r="I25" s="281">
        <f>'[1]ARR13-14TRT-21(PY,CY&amp;EY)'!F105</f>
        <v>0</v>
      </c>
      <c r="J25" s="281"/>
      <c r="K25" s="281">
        <f t="shared" si="4"/>
        <v>634.63</v>
      </c>
      <c r="L25" s="281">
        <f t="shared" si="5"/>
        <v>61.7748842</v>
      </c>
      <c r="M25" s="281">
        <v>0</v>
      </c>
      <c r="N25" s="281">
        <f t="shared" si="6"/>
        <v>634.63</v>
      </c>
      <c r="O25" s="281">
        <f t="shared" si="7"/>
        <v>61.7748842</v>
      </c>
      <c r="P25" s="282">
        <f t="shared" si="8"/>
        <v>61.7748842</v>
      </c>
      <c r="Q25" s="283">
        <f t="shared" si="9"/>
        <v>0</v>
      </c>
      <c r="R25" s="283">
        <f t="shared" si="10"/>
        <v>1</v>
      </c>
    </row>
    <row r="26" spans="1:18" ht="20.25">
      <c r="A26" s="279" t="s">
        <v>645</v>
      </c>
      <c r="B26" s="275">
        <v>100</v>
      </c>
      <c r="C26" s="275"/>
      <c r="D26" s="281"/>
      <c r="E26" s="281"/>
      <c r="F26" s="282">
        <f>O26-P26</f>
        <v>0</v>
      </c>
      <c r="G26" s="281"/>
      <c r="H26" s="281">
        <v>162</v>
      </c>
      <c r="I26" s="281"/>
      <c r="J26" s="281"/>
      <c r="K26" s="281">
        <f t="shared" si="4"/>
        <v>162</v>
      </c>
      <c r="L26" s="281">
        <f t="shared" si="5"/>
        <v>0</v>
      </c>
      <c r="M26" s="281">
        <v>0</v>
      </c>
      <c r="N26" s="281">
        <f t="shared" si="6"/>
        <v>162</v>
      </c>
      <c r="O26" s="281">
        <f t="shared" si="7"/>
        <v>0</v>
      </c>
      <c r="P26" s="282">
        <f t="shared" si="8"/>
        <v>0</v>
      </c>
      <c r="Q26" s="283" t="e">
        <f t="shared" si="9"/>
        <v>#DIV/0!</v>
      </c>
      <c r="R26" s="283" t="e">
        <f t="shared" si="10"/>
        <v>#DIV/0!</v>
      </c>
    </row>
    <row r="27" spans="1:18" ht="20.25">
      <c r="A27" s="279" t="s">
        <v>643</v>
      </c>
      <c r="B27" s="275"/>
      <c r="C27" s="275"/>
      <c r="D27" s="281">
        <v>112.66</v>
      </c>
      <c r="E27" s="281"/>
      <c r="F27" s="282"/>
      <c r="G27" s="281"/>
      <c r="H27" s="281">
        <v>31.86</v>
      </c>
      <c r="I27" s="281"/>
      <c r="J27" s="281"/>
      <c r="K27" s="281">
        <f t="shared" si="4"/>
        <v>31.86</v>
      </c>
      <c r="L27" s="281">
        <v>3.59</v>
      </c>
      <c r="M27" s="281">
        <v>0</v>
      </c>
      <c r="N27" s="281">
        <f t="shared" si="6"/>
        <v>31.86</v>
      </c>
      <c r="O27" s="281">
        <f t="shared" si="7"/>
        <v>3.5893475999999995</v>
      </c>
      <c r="P27" s="282">
        <f t="shared" si="8"/>
        <v>3.5893475999999995</v>
      </c>
      <c r="Q27" s="283">
        <f t="shared" si="9"/>
        <v>0</v>
      </c>
      <c r="R27" s="283">
        <f t="shared" si="10"/>
        <v>0.9998182729805013</v>
      </c>
    </row>
    <row r="28" spans="1:18" ht="20.25">
      <c r="A28" s="279" t="s">
        <v>649</v>
      </c>
      <c r="B28" s="275"/>
      <c r="C28" s="275"/>
      <c r="D28" s="281">
        <v>16.1</v>
      </c>
      <c r="E28" s="281"/>
      <c r="F28" s="282">
        <f>O28-P28</f>
        <v>0</v>
      </c>
      <c r="G28" s="281"/>
      <c r="H28" s="281">
        <v>303.19</v>
      </c>
      <c r="I28" s="281"/>
      <c r="J28" s="281"/>
      <c r="K28" s="281">
        <f t="shared" si="4"/>
        <v>303.19</v>
      </c>
      <c r="L28" s="281">
        <f>K28*D28/1000</f>
        <v>4.881359000000001</v>
      </c>
      <c r="M28" s="281">
        <v>0</v>
      </c>
      <c r="N28" s="281">
        <f t="shared" si="6"/>
        <v>303.19</v>
      </c>
      <c r="O28" s="281">
        <f t="shared" si="7"/>
        <v>4.881359000000001</v>
      </c>
      <c r="P28" s="282">
        <f t="shared" si="8"/>
        <v>4.881359000000001</v>
      </c>
      <c r="Q28" s="283">
        <f t="shared" si="9"/>
        <v>0</v>
      </c>
      <c r="R28" s="283">
        <f t="shared" si="10"/>
        <v>1</v>
      </c>
    </row>
    <row r="29" spans="1:18" ht="20.25">
      <c r="A29" s="279" t="s">
        <v>614</v>
      </c>
      <c r="B29" s="275"/>
      <c r="C29" s="275"/>
      <c r="D29" s="260">
        <f>SUM(D17:D28)</f>
        <v>17656.553999999996</v>
      </c>
      <c r="E29" s="281"/>
      <c r="F29" s="282"/>
      <c r="G29" s="281"/>
      <c r="H29" s="281"/>
      <c r="I29" s="281"/>
      <c r="J29" s="281"/>
      <c r="K29" s="281"/>
      <c r="L29" s="260">
        <f>SUM(L17:L28)</f>
        <v>2742.7306240200005</v>
      </c>
      <c r="M29" s="281">
        <v>0</v>
      </c>
      <c r="N29" s="281">
        <f t="shared" si="6"/>
        <v>0</v>
      </c>
      <c r="O29" s="260">
        <f>SUM(O17:O28)</f>
        <v>2742.7299716200005</v>
      </c>
      <c r="P29" s="282">
        <f t="shared" si="8"/>
        <v>0</v>
      </c>
      <c r="Q29" s="283">
        <f t="shared" si="9"/>
        <v>0</v>
      </c>
      <c r="R29" s="283">
        <f t="shared" si="10"/>
        <v>0</v>
      </c>
    </row>
    <row r="30" spans="1:18" ht="20.25">
      <c r="A30" s="279" t="s">
        <v>613</v>
      </c>
      <c r="B30" s="275">
        <v>31.88</v>
      </c>
      <c r="C30" s="275"/>
      <c r="D30" s="281">
        <v>2180.37</v>
      </c>
      <c r="E30" s="281"/>
      <c r="F30" s="282">
        <f aca="true" t="shared" si="11" ref="F30:F40">O30-P30</f>
        <v>0</v>
      </c>
      <c r="G30" s="281">
        <v>0</v>
      </c>
      <c r="H30" s="281">
        <v>280.96</v>
      </c>
      <c r="I30" s="281">
        <f>'[1]ARR13-14TRT-21(PY,CY&amp;EY)'!F114</f>
        <v>0</v>
      </c>
      <c r="J30" s="281">
        <f>'[1]ARR13-14TRT-21(PY,CY&amp;EY)'!G114</f>
        <v>0</v>
      </c>
      <c r="K30" s="281">
        <f aca="true" t="shared" si="12" ref="K30:K38">H30</f>
        <v>280.96</v>
      </c>
      <c r="L30" s="281">
        <f aca="true" t="shared" si="13" ref="L30:L40">D30*K30/1000</f>
        <v>612.5967551999998</v>
      </c>
      <c r="M30" s="281">
        <v>0</v>
      </c>
      <c r="N30" s="281">
        <f t="shared" si="6"/>
        <v>280.96</v>
      </c>
      <c r="O30" s="281">
        <f aca="true" t="shared" si="14" ref="O30:O40">N30*D30/1000</f>
        <v>612.5967551999998</v>
      </c>
      <c r="P30" s="282">
        <f t="shared" si="8"/>
        <v>612.5967551999998</v>
      </c>
      <c r="Q30" s="283">
        <f t="shared" si="9"/>
        <v>0</v>
      </c>
      <c r="R30" s="283">
        <f t="shared" si="10"/>
        <v>1</v>
      </c>
    </row>
    <row r="31" spans="1:18" ht="20.25">
      <c r="A31" s="279" t="s">
        <v>602</v>
      </c>
      <c r="B31" s="275">
        <v>10</v>
      </c>
      <c r="C31" s="275"/>
      <c r="D31" s="281">
        <v>1349.47</v>
      </c>
      <c r="E31" s="281"/>
      <c r="F31" s="282">
        <f t="shared" si="11"/>
        <v>0</v>
      </c>
      <c r="G31" s="281">
        <f>'[1]ARR13-14TRT-21(PY,CY&amp;EY)'!D115</f>
        <v>0</v>
      </c>
      <c r="H31" s="281">
        <v>275.23</v>
      </c>
      <c r="I31" s="281">
        <f>'[1]ARR13-14TRT-21(PY,CY&amp;EY)'!F115</f>
        <v>0</v>
      </c>
      <c r="J31" s="281">
        <f>'[1]ARR13-14TRT-21(PY,CY&amp;EY)'!G115</f>
        <v>0</v>
      </c>
      <c r="K31" s="281">
        <f t="shared" si="12"/>
        <v>275.23</v>
      </c>
      <c r="L31" s="281">
        <f t="shared" si="13"/>
        <v>371.4146281</v>
      </c>
      <c r="M31" s="281">
        <v>0</v>
      </c>
      <c r="N31" s="281">
        <f t="shared" si="6"/>
        <v>275.23</v>
      </c>
      <c r="O31" s="281">
        <f t="shared" si="14"/>
        <v>371.4146281</v>
      </c>
      <c r="P31" s="282">
        <f t="shared" si="8"/>
        <v>371.4146281</v>
      </c>
      <c r="Q31" s="283">
        <f t="shared" si="9"/>
        <v>0</v>
      </c>
      <c r="R31" s="283">
        <f t="shared" si="10"/>
        <v>1</v>
      </c>
    </row>
    <row r="32" spans="1:18" ht="20.25">
      <c r="A32" s="279" t="s">
        <v>605</v>
      </c>
      <c r="B32" s="275">
        <v>13.71</v>
      </c>
      <c r="C32" s="275"/>
      <c r="D32" s="281">
        <v>1185.15</v>
      </c>
      <c r="E32" s="281"/>
      <c r="F32" s="282">
        <f t="shared" si="11"/>
        <v>0</v>
      </c>
      <c r="G32" s="281">
        <f>'[1]ARR13-14TRT-21(PY,CY&amp;EY)'!D116</f>
        <v>0</v>
      </c>
      <c r="H32" s="281">
        <v>469.96</v>
      </c>
      <c r="I32" s="281">
        <f>'[1]ARR13-14TRT-21(PY,CY&amp;EY)'!F116</f>
        <v>0</v>
      </c>
      <c r="J32" s="281">
        <f>'[1]ARR13-14TRT-21(PY,CY&amp;EY)'!G116</f>
        <v>0</v>
      </c>
      <c r="K32" s="281">
        <f t="shared" si="12"/>
        <v>469.96</v>
      </c>
      <c r="L32" s="281">
        <f t="shared" si="13"/>
        <v>556.9730940000001</v>
      </c>
      <c r="M32" s="281">
        <v>0</v>
      </c>
      <c r="N32" s="281">
        <f t="shared" si="6"/>
        <v>469.96</v>
      </c>
      <c r="O32" s="281">
        <f t="shared" si="14"/>
        <v>556.9730940000001</v>
      </c>
      <c r="P32" s="282">
        <f t="shared" si="8"/>
        <v>556.9730940000001</v>
      </c>
      <c r="Q32" s="283">
        <f t="shared" si="9"/>
        <v>0</v>
      </c>
      <c r="R32" s="283">
        <f t="shared" si="10"/>
        <v>1</v>
      </c>
    </row>
    <row r="33" spans="1:18" ht="20.25">
      <c r="A33" s="279" t="s">
        <v>600</v>
      </c>
      <c r="B33" s="275">
        <v>28.54</v>
      </c>
      <c r="C33" s="275"/>
      <c r="D33" s="281">
        <v>750.66</v>
      </c>
      <c r="E33" s="281"/>
      <c r="F33" s="282">
        <f t="shared" si="11"/>
        <v>0</v>
      </c>
      <c r="G33" s="281">
        <f>'[1]ARR13-14TRT-21(PY,CY&amp;EY)'!D117</f>
        <v>0</v>
      </c>
      <c r="H33" s="281">
        <v>566.55</v>
      </c>
      <c r="I33" s="281">
        <f>'[1]ARR13-14TRT-21(PY,CY&amp;EY)'!F117</f>
        <v>0</v>
      </c>
      <c r="J33" s="281"/>
      <c r="K33" s="281">
        <f t="shared" si="12"/>
        <v>566.55</v>
      </c>
      <c r="L33" s="281">
        <f t="shared" si="13"/>
        <v>425.28642299999996</v>
      </c>
      <c r="M33" s="281">
        <v>0</v>
      </c>
      <c r="N33" s="281">
        <f t="shared" si="6"/>
        <v>566.55</v>
      </c>
      <c r="O33" s="281">
        <f t="shared" si="14"/>
        <v>425.28642299999996</v>
      </c>
      <c r="P33" s="282">
        <f t="shared" si="8"/>
        <v>425.28642299999996</v>
      </c>
      <c r="Q33" s="283">
        <f t="shared" si="9"/>
        <v>0</v>
      </c>
      <c r="R33" s="283">
        <f t="shared" si="10"/>
        <v>1</v>
      </c>
    </row>
    <row r="34" spans="1:18" ht="20.25">
      <c r="A34" s="279" t="s">
        <v>648</v>
      </c>
      <c r="B34" s="275">
        <v>15.32</v>
      </c>
      <c r="C34" s="275"/>
      <c r="D34" s="281">
        <v>605.89</v>
      </c>
      <c r="E34" s="281"/>
      <c r="F34" s="282">
        <f t="shared" si="11"/>
        <v>0</v>
      </c>
      <c r="G34" s="281">
        <f>'[1]ARR13-14TRT-21(PY,CY&amp;EY)'!D117</f>
        <v>0</v>
      </c>
      <c r="H34" s="281">
        <v>475.31</v>
      </c>
      <c r="I34" s="281">
        <f>'[1]ARR13-14TRT-21(PY,CY&amp;EY)'!F117</f>
        <v>0</v>
      </c>
      <c r="J34" s="281">
        <f>'[1]ARR13-14TRT-21(PY,CY&amp;EY)'!G117</f>
        <v>0</v>
      </c>
      <c r="K34" s="281">
        <f t="shared" si="12"/>
        <v>475.31</v>
      </c>
      <c r="L34" s="281">
        <f t="shared" si="13"/>
        <v>287.9855759</v>
      </c>
      <c r="M34" s="281">
        <v>0</v>
      </c>
      <c r="N34" s="281">
        <f t="shared" si="6"/>
        <v>475.31</v>
      </c>
      <c r="O34" s="281">
        <f t="shared" si="14"/>
        <v>287.9855759</v>
      </c>
      <c r="P34" s="282">
        <f t="shared" si="8"/>
        <v>287.9855759</v>
      </c>
      <c r="Q34" s="283">
        <f t="shared" si="9"/>
        <v>0</v>
      </c>
      <c r="R34" s="283">
        <f t="shared" si="10"/>
        <v>1</v>
      </c>
    </row>
    <row r="35" spans="1:18" ht="20.25">
      <c r="A35" s="279" t="s">
        <v>647</v>
      </c>
      <c r="B35" s="275">
        <v>2.14</v>
      </c>
      <c r="C35" s="275"/>
      <c r="D35" s="281">
        <v>144.75</v>
      </c>
      <c r="E35" s="281"/>
      <c r="F35" s="282">
        <f t="shared" si="11"/>
        <v>0</v>
      </c>
      <c r="G35" s="281">
        <f>'[1]ARR13-14TRT-21(PY,CY&amp;EY)'!D118</f>
        <v>0</v>
      </c>
      <c r="H35" s="281">
        <v>492.01</v>
      </c>
      <c r="I35" s="281">
        <f>'[1]ARR13-14TRT-21(PY,CY&amp;EY)'!F118</f>
        <v>0</v>
      </c>
      <c r="J35" s="281">
        <f>'[1]ARR13-14TRT-21(PY,CY&amp;EY)'!G118</f>
        <v>0</v>
      </c>
      <c r="K35" s="281">
        <f t="shared" si="12"/>
        <v>492.01</v>
      </c>
      <c r="L35" s="281">
        <f t="shared" si="13"/>
        <v>71.2184475</v>
      </c>
      <c r="M35" s="281">
        <v>0</v>
      </c>
      <c r="N35" s="281">
        <f t="shared" si="6"/>
        <v>492.01</v>
      </c>
      <c r="O35" s="281">
        <f t="shared" si="14"/>
        <v>71.2184475</v>
      </c>
      <c r="P35" s="282">
        <f t="shared" si="8"/>
        <v>71.2184475</v>
      </c>
      <c r="Q35" s="283">
        <f t="shared" si="9"/>
        <v>0</v>
      </c>
      <c r="R35" s="283">
        <f t="shared" si="10"/>
        <v>1</v>
      </c>
    </row>
    <row r="36" spans="1:18" ht="20.25">
      <c r="A36" s="279" t="s">
        <v>646</v>
      </c>
      <c r="B36" s="275">
        <v>15.19</v>
      </c>
      <c r="C36" s="275"/>
      <c r="D36" s="281">
        <v>267.94</v>
      </c>
      <c r="E36" s="281"/>
      <c r="F36" s="282">
        <f t="shared" si="11"/>
        <v>0</v>
      </c>
      <c r="G36" s="281">
        <f>'[1]ARR13-14TRT-21(PY,CY&amp;EY)'!D125</f>
        <v>0</v>
      </c>
      <c r="H36" s="281">
        <v>221.25</v>
      </c>
      <c r="I36" s="281">
        <f>'[1]ARR13-14TRT-21(PY,CY&amp;EY)'!F125</f>
        <v>0</v>
      </c>
      <c r="J36" s="281">
        <f>'[1]ARR13-14TRT-21(PY,CY&amp;EY)'!G125</f>
        <v>0</v>
      </c>
      <c r="K36" s="281">
        <f t="shared" si="12"/>
        <v>221.25</v>
      </c>
      <c r="L36" s="281">
        <f t="shared" si="13"/>
        <v>59.281725</v>
      </c>
      <c r="M36" s="281">
        <v>0</v>
      </c>
      <c r="N36" s="281">
        <f t="shared" si="6"/>
        <v>221.25</v>
      </c>
      <c r="O36" s="281">
        <f t="shared" si="14"/>
        <v>59.281725</v>
      </c>
      <c r="P36" s="282">
        <f t="shared" si="8"/>
        <v>59.281725</v>
      </c>
      <c r="Q36" s="283">
        <f t="shared" si="9"/>
        <v>0</v>
      </c>
      <c r="R36" s="283">
        <f t="shared" si="10"/>
        <v>1</v>
      </c>
    </row>
    <row r="37" spans="1:18" ht="20.25">
      <c r="A37" s="279" t="s">
        <v>612</v>
      </c>
      <c r="B37" s="275">
        <v>4.25</v>
      </c>
      <c r="C37" s="275"/>
      <c r="D37" s="281">
        <v>149.65</v>
      </c>
      <c r="E37" s="281"/>
      <c r="F37" s="282">
        <f t="shared" si="11"/>
        <v>0</v>
      </c>
      <c r="G37" s="281">
        <f>'[1]ARR13-14TRT-21(PY,CY&amp;EY)'!D120</f>
        <v>0</v>
      </c>
      <c r="H37" s="281">
        <v>238.6</v>
      </c>
      <c r="I37" s="281">
        <f>'[1]ARR13-14TRT-21(PY,CY&amp;EY)'!F120</f>
        <v>0</v>
      </c>
      <c r="J37" s="281">
        <f>'[1]ARR13-14TRT-21(PY,CY&amp;EY)'!G120</f>
        <v>0</v>
      </c>
      <c r="K37" s="281">
        <f t="shared" si="12"/>
        <v>238.6</v>
      </c>
      <c r="L37" s="281">
        <f t="shared" si="13"/>
        <v>35.706489999999995</v>
      </c>
      <c r="M37" s="281">
        <v>0</v>
      </c>
      <c r="N37" s="281">
        <f t="shared" si="6"/>
        <v>238.6</v>
      </c>
      <c r="O37" s="281">
        <f t="shared" si="14"/>
        <v>35.706489999999995</v>
      </c>
      <c r="P37" s="282">
        <f t="shared" si="8"/>
        <v>35.706489999999995</v>
      </c>
      <c r="Q37" s="283">
        <f t="shared" si="9"/>
        <v>0</v>
      </c>
      <c r="R37" s="283">
        <f t="shared" si="10"/>
        <v>1</v>
      </c>
    </row>
    <row r="38" spans="1:18" ht="20.25">
      <c r="A38" s="279" t="s">
        <v>604</v>
      </c>
      <c r="B38" s="275">
        <v>23.4</v>
      </c>
      <c r="C38" s="275"/>
      <c r="D38" s="281">
        <v>455.31</v>
      </c>
      <c r="E38" s="281"/>
      <c r="F38" s="282">
        <f t="shared" si="11"/>
        <v>0</v>
      </c>
      <c r="G38" s="281">
        <f>'[1]ARR13-14TRT-21(PY,CY&amp;EY)'!D121</f>
        <v>0</v>
      </c>
      <c r="H38" s="281">
        <v>317.9</v>
      </c>
      <c r="I38" s="281">
        <f>'[1]ARR13-14TRT-21(PY,CY&amp;EY)'!F121</f>
        <v>0</v>
      </c>
      <c r="J38" s="281">
        <f>'[1]ARR13-14TRT-21(PY,CY&amp;EY)'!G121</f>
        <v>0</v>
      </c>
      <c r="K38" s="281">
        <f t="shared" si="12"/>
        <v>317.9</v>
      </c>
      <c r="L38" s="281">
        <f t="shared" si="13"/>
        <v>144.74304899999998</v>
      </c>
      <c r="M38" s="281">
        <v>0</v>
      </c>
      <c r="N38" s="281">
        <f t="shared" si="6"/>
        <v>317.9</v>
      </c>
      <c r="O38" s="281">
        <f t="shared" si="14"/>
        <v>144.74304899999998</v>
      </c>
      <c r="P38" s="282">
        <f t="shared" si="8"/>
        <v>144.74304899999998</v>
      </c>
      <c r="Q38" s="283">
        <f t="shared" si="9"/>
        <v>0</v>
      </c>
      <c r="R38" s="283">
        <f t="shared" si="10"/>
        <v>1</v>
      </c>
    </row>
    <row r="39" spans="1:18" ht="20.25">
      <c r="A39" s="279" t="s">
        <v>770</v>
      </c>
      <c r="B39" s="275"/>
      <c r="C39" s="275"/>
      <c r="D39" s="281">
        <v>2.66</v>
      </c>
      <c r="E39" s="281"/>
      <c r="F39" s="282">
        <f t="shared" si="11"/>
        <v>0</v>
      </c>
      <c r="G39" s="281"/>
      <c r="H39" s="281"/>
      <c r="I39" s="281"/>
      <c r="J39" s="281"/>
      <c r="K39" s="281"/>
      <c r="L39" s="281">
        <f t="shared" si="13"/>
        <v>0</v>
      </c>
      <c r="M39" s="281"/>
      <c r="N39" s="281">
        <f t="shared" si="6"/>
        <v>0</v>
      </c>
      <c r="O39" s="281">
        <f t="shared" si="14"/>
        <v>0</v>
      </c>
      <c r="P39" s="282">
        <f t="shared" si="8"/>
        <v>0</v>
      </c>
      <c r="Q39" s="283" t="e">
        <f t="shared" si="9"/>
        <v>#DIV/0!</v>
      </c>
      <c r="R39" s="283" t="e">
        <f t="shared" si="10"/>
        <v>#DIV/0!</v>
      </c>
    </row>
    <row r="40" spans="1:18" ht="20.25">
      <c r="A40" s="279" t="s">
        <v>771</v>
      </c>
      <c r="B40" s="275"/>
      <c r="C40" s="275"/>
      <c r="D40" s="281">
        <v>451.45</v>
      </c>
      <c r="E40" s="281"/>
      <c r="F40" s="282">
        <f t="shared" si="11"/>
        <v>0</v>
      </c>
      <c r="G40" s="281"/>
      <c r="H40" s="281">
        <v>66.27</v>
      </c>
      <c r="I40" s="281"/>
      <c r="J40" s="281"/>
      <c r="K40" s="281">
        <f>H40</f>
        <v>66.27</v>
      </c>
      <c r="L40" s="281">
        <f t="shared" si="13"/>
        <v>29.9175915</v>
      </c>
      <c r="M40" s="281"/>
      <c r="N40" s="281">
        <f t="shared" si="6"/>
        <v>66.27</v>
      </c>
      <c r="O40" s="281">
        <f t="shared" si="14"/>
        <v>29.9175915</v>
      </c>
      <c r="P40" s="282">
        <f t="shared" si="8"/>
        <v>29.9175915</v>
      </c>
      <c r="Q40" s="283">
        <f t="shared" si="9"/>
        <v>0</v>
      </c>
      <c r="R40" s="283">
        <f t="shared" si="10"/>
        <v>1</v>
      </c>
    </row>
    <row r="41" spans="1:18" ht="20.25">
      <c r="A41" s="279" t="s">
        <v>611</v>
      </c>
      <c r="B41" s="286"/>
      <c r="C41" s="286"/>
      <c r="D41" s="260">
        <f>SUM(D30:D40)</f>
        <v>7543.299999999999</v>
      </c>
      <c r="E41" s="281"/>
      <c r="F41" s="282"/>
      <c r="G41" s="281"/>
      <c r="H41" s="281"/>
      <c r="I41" s="281"/>
      <c r="J41" s="281"/>
      <c r="K41" s="281"/>
      <c r="L41" s="260">
        <f>SUM(L30:L40)</f>
        <v>2595.1237792</v>
      </c>
      <c r="M41" s="281">
        <f>'[1]ARR13-14TRT-21(PY,CY&amp;EY)'!K122</f>
        <v>0</v>
      </c>
      <c r="N41" s="281">
        <f t="shared" si="6"/>
        <v>0</v>
      </c>
      <c r="O41" s="260">
        <f>SUM(O30:O40)</f>
        <v>2595.1237792</v>
      </c>
      <c r="P41" s="282">
        <f t="shared" si="8"/>
        <v>0</v>
      </c>
      <c r="Q41" s="283">
        <f t="shared" si="9"/>
        <v>0</v>
      </c>
      <c r="R41" s="283">
        <f t="shared" si="10"/>
        <v>0</v>
      </c>
    </row>
    <row r="42" spans="1:18" ht="20.25">
      <c r="A42" s="279" t="s">
        <v>642</v>
      </c>
      <c r="B42" s="286"/>
      <c r="C42" s="286"/>
      <c r="D42" s="281"/>
      <c r="E42" s="281"/>
      <c r="F42" s="282">
        <f>3.52+0.71</f>
        <v>4.23</v>
      </c>
      <c r="G42" s="281"/>
      <c r="H42" s="281"/>
      <c r="I42" s="281"/>
      <c r="J42" s="281"/>
      <c r="K42" s="281"/>
      <c r="L42" s="281">
        <f>F42</f>
        <v>4.23</v>
      </c>
      <c r="M42" s="281"/>
      <c r="N42" s="281">
        <f t="shared" si="6"/>
        <v>0</v>
      </c>
      <c r="O42" s="281">
        <f>L42</f>
        <v>4.23</v>
      </c>
      <c r="P42" s="282"/>
      <c r="Q42" s="283">
        <f t="shared" si="9"/>
        <v>1</v>
      </c>
      <c r="R42" s="283">
        <f t="shared" si="10"/>
        <v>0</v>
      </c>
    </row>
    <row r="43" spans="1:18" ht="20.25">
      <c r="A43" s="279" t="s">
        <v>381</v>
      </c>
      <c r="B43" s="286"/>
      <c r="C43" s="286"/>
      <c r="D43" s="260">
        <f>D41+D29</f>
        <v>25199.853999999996</v>
      </c>
      <c r="E43" s="281"/>
      <c r="F43" s="282"/>
      <c r="G43" s="281"/>
      <c r="H43" s="281"/>
      <c r="I43" s="281"/>
      <c r="J43" s="281"/>
      <c r="K43" s="281"/>
      <c r="L43" s="260">
        <f>L41+L29+L42+0.17</f>
        <v>5342.25440322</v>
      </c>
      <c r="M43" s="281"/>
      <c r="N43" s="281"/>
      <c r="O43" s="260">
        <f>O41+O29+O42+0.17</f>
        <v>5342.25375082</v>
      </c>
      <c r="P43" s="282"/>
      <c r="Q43" s="287">
        <f t="shared" si="9"/>
        <v>0</v>
      </c>
      <c r="R43" s="283">
        <f t="shared" si="10"/>
        <v>0</v>
      </c>
    </row>
    <row r="44" ht="17.25" customHeight="1"/>
    <row r="45" spans="1:18" ht="30" customHeight="1">
      <c r="A45" s="608"/>
      <c r="B45" s="609"/>
      <c r="C45" s="609"/>
      <c r="D45" s="609"/>
      <c r="E45" s="609"/>
      <c r="F45" s="609"/>
      <c r="G45" s="609"/>
      <c r="H45" s="609"/>
      <c r="I45" s="609"/>
      <c r="J45" s="609"/>
      <c r="K45" s="289"/>
      <c r="L45" s="289"/>
      <c r="M45" s="289"/>
      <c r="N45" s="289"/>
      <c r="O45" s="289"/>
      <c r="P45" s="289"/>
      <c r="Q45" s="623"/>
      <c r="R45" s="624"/>
    </row>
    <row r="46" spans="1:18" ht="38.25" customHeight="1">
      <c r="A46" s="315" t="s">
        <v>766</v>
      </c>
      <c r="B46" s="249"/>
      <c r="C46" s="249"/>
      <c r="D46" s="250"/>
      <c r="E46" s="250"/>
      <c r="F46" s="250"/>
      <c r="G46" s="249"/>
      <c r="H46" s="249"/>
      <c r="I46" s="249"/>
      <c r="J46" s="249"/>
      <c r="K46" s="319"/>
      <c r="L46" s="320"/>
      <c r="M46" s="249"/>
      <c r="N46" s="249"/>
      <c r="O46" s="249"/>
      <c r="P46" s="318" t="s">
        <v>630</v>
      </c>
      <c r="Q46" s="610" t="s">
        <v>362</v>
      </c>
      <c r="R46" s="610" t="s">
        <v>363</v>
      </c>
    </row>
    <row r="47" spans="1:18" ht="97.5" customHeight="1">
      <c r="A47" s="189" t="s">
        <v>640</v>
      </c>
      <c r="B47" s="308" t="s">
        <v>639</v>
      </c>
      <c r="C47" s="308" t="s">
        <v>638</v>
      </c>
      <c r="D47" s="309" t="s">
        <v>654</v>
      </c>
      <c r="E47" s="309" t="s">
        <v>504</v>
      </c>
      <c r="F47" s="309" t="s">
        <v>505</v>
      </c>
      <c r="G47" s="310" t="s">
        <v>635</v>
      </c>
      <c r="H47" s="310" t="s">
        <v>630</v>
      </c>
      <c r="I47" s="310" t="s">
        <v>634</v>
      </c>
      <c r="J47" s="310" t="s">
        <v>633</v>
      </c>
      <c r="K47" s="310" t="s">
        <v>632</v>
      </c>
      <c r="L47" s="310" t="s">
        <v>631</v>
      </c>
      <c r="M47" s="309" t="s">
        <v>508</v>
      </c>
      <c r="N47" s="309" t="s">
        <v>507</v>
      </c>
      <c r="O47" s="309" t="s">
        <v>506</v>
      </c>
      <c r="P47" s="313" t="s">
        <v>627</v>
      </c>
      <c r="Q47" s="611"/>
      <c r="R47" s="611"/>
    </row>
    <row r="48" spans="1:18" s="292" customFormat="1" ht="27.75" customHeight="1">
      <c r="A48" s="290"/>
      <c r="B48" s="275" t="s">
        <v>372</v>
      </c>
      <c r="C48" s="275" t="s">
        <v>368</v>
      </c>
      <c r="D48" s="280" t="s">
        <v>367</v>
      </c>
      <c r="E48" s="277" t="s">
        <v>627</v>
      </c>
      <c r="F48" s="277" t="s">
        <v>627</v>
      </c>
      <c r="G48" s="277" t="s">
        <v>488</v>
      </c>
      <c r="H48" s="277" t="s">
        <v>488</v>
      </c>
      <c r="I48" s="277" t="s">
        <v>488</v>
      </c>
      <c r="J48" s="277" t="s">
        <v>488</v>
      </c>
      <c r="K48" s="277" t="s">
        <v>488</v>
      </c>
      <c r="L48" s="277" t="s">
        <v>501</v>
      </c>
      <c r="M48" s="277" t="s">
        <v>488</v>
      </c>
      <c r="N48" s="277" t="s">
        <v>488</v>
      </c>
      <c r="O48" s="277" t="s">
        <v>627</v>
      </c>
      <c r="P48" s="291"/>
      <c r="Q48" s="283"/>
      <c r="R48" s="283"/>
    </row>
    <row r="49" spans="1:18" ht="20.25">
      <c r="A49" s="279" t="s">
        <v>626</v>
      </c>
      <c r="B49" s="275">
        <v>100</v>
      </c>
      <c r="C49" s="275"/>
      <c r="D49" s="613">
        <v>780.87</v>
      </c>
      <c r="E49" s="293"/>
      <c r="F49" s="617">
        <f>O49-P49</f>
        <v>0</v>
      </c>
      <c r="G49" s="293"/>
      <c r="H49" s="613">
        <f>L49/D49*1000</f>
        <v>109.03223327826656</v>
      </c>
      <c r="I49" s="293"/>
      <c r="J49" s="293"/>
      <c r="K49" s="613">
        <f>H49</f>
        <v>109.03223327826656</v>
      </c>
      <c r="L49" s="613">
        <v>85.14</v>
      </c>
      <c r="M49" s="293">
        <v>0</v>
      </c>
      <c r="N49" s="613">
        <f>K49+M49</f>
        <v>109.03223327826656</v>
      </c>
      <c r="O49" s="615">
        <f>N49*D49/1000</f>
        <v>85.14000000000001</v>
      </c>
      <c r="P49" s="617">
        <f>D49*H49/1000</f>
        <v>85.14000000000001</v>
      </c>
      <c r="Q49" s="603">
        <f>F49/O49</f>
        <v>0</v>
      </c>
      <c r="R49" s="603">
        <f>P49/L49</f>
        <v>1.0000000000000002</v>
      </c>
    </row>
    <row r="50" spans="1:18" ht="20.25">
      <c r="A50" s="279" t="s">
        <v>440</v>
      </c>
      <c r="B50" s="275">
        <v>100</v>
      </c>
      <c r="C50" s="275"/>
      <c r="D50" s="614"/>
      <c r="E50" s="293"/>
      <c r="F50" s="618"/>
      <c r="G50" s="293"/>
      <c r="H50" s="614"/>
      <c r="I50" s="293"/>
      <c r="J50" s="293"/>
      <c r="K50" s="614"/>
      <c r="L50" s="614"/>
      <c r="M50" s="293">
        <v>0</v>
      </c>
      <c r="N50" s="614"/>
      <c r="O50" s="616"/>
      <c r="P50" s="618"/>
      <c r="Q50" s="604"/>
      <c r="R50" s="604"/>
    </row>
    <row r="51" spans="1:18" ht="20.25">
      <c r="A51" s="294" t="s">
        <v>385</v>
      </c>
      <c r="B51" s="275">
        <v>100</v>
      </c>
      <c r="C51" s="275"/>
      <c r="D51" s="293">
        <v>1042.82</v>
      </c>
      <c r="E51" s="293"/>
      <c r="F51" s="282">
        <f aca="true" t="shared" si="15" ref="F51:F68">O51-P51</f>
        <v>0</v>
      </c>
      <c r="G51" s="293"/>
      <c r="H51" s="293">
        <f aca="true" t="shared" si="16" ref="H51:H59">L51/D51*1000</f>
        <v>89.95799850405632</v>
      </c>
      <c r="I51" s="293"/>
      <c r="J51" s="293"/>
      <c r="K51" s="293">
        <f>H51</f>
        <v>89.95799850405632</v>
      </c>
      <c r="L51" s="293">
        <v>93.81</v>
      </c>
      <c r="M51" s="293">
        <v>0</v>
      </c>
      <c r="N51" s="295">
        <f aca="true" t="shared" si="17" ref="N51:N60">K51+M51</f>
        <v>89.95799850405632</v>
      </c>
      <c r="O51" s="281">
        <f aca="true" t="shared" si="18" ref="O51:O68">N51*D51/1000</f>
        <v>93.81</v>
      </c>
      <c r="P51" s="282">
        <f aca="true" t="shared" si="19" ref="P51:P68">D51*H51/1000</f>
        <v>93.81</v>
      </c>
      <c r="Q51" s="283">
        <f aca="true" t="shared" si="20" ref="Q51:Q59">F51/O51</f>
        <v>0</v>
      </c>
      <c r="R51" s="283">
        <f aca="true" t="shared" si="21" ref="R51:R63">P51/L51</f>
        <v>1</v>
      </c>
    </row>
    <row r="52" spans="1:18" ht="20.25">
      <c r="A52" s="294" t="s">
        <v>384</v>
      </c>
      <c r="B52" s="275">
        <v>100</v>
      </c>
      <c r="C52" s="275"/>
      <c r="D52" s="293">
        <v>1277.11</v>
      </c>
      <c r="E52" s="293"/>
      <c r="F52" s="282">
        <f t="shared" si="15"/>
        <v>0</v>
      </c>
      <c r="G52" s="293"/>
      <c r="H52" s="293">
        <f t="shared" si="16"/>
        <v>83.22697340088169</v>
      </c>
      <c r="I52" s="293"/>
      <c r="J52" s="293"/>
      <c r="K52" s="293">
        <f>H52</f>
        <v>83.22697340088169</v>
      </c>
      <c r="L52" s="293">
        <v>106.29</v>
      </c>
      <c r="M52" s="293">
        <v>0</v>
      </c>
      <c r="N52" s="295">
        <f t="shared" si="17"/>
        <v>83.22697340088169</v>
      </c>
      <c r="O52" s="281">
        <f t="shared" si="18"/>
        <v>106.29</v>
      </c>
      <c r="P52" s="282">
        <f t="shared" si="19"/>
        <v>106.29</v>
      </c>
      <c r="Q52" s="283">
        <f t="shared" si="20"/>
        <v>0</v>
      </c>
      <c r="R52" s="283">
        <f t="shared" si="21"/>
        <v>1</v>
      </c>
    </row>
    <row r="53" spans="1:18" ht="20.25">
      <c r="A53" s="279" t="s">
        <v>625</v>
      </c>
      <c r="B53" s="275">
        <v>100</v>
      </c>
      <c r="C53" s="275"/>
      <c r="D53" s="293">
        <v>698.4</v>
      </c>
      <c r="E53" s="293"/>
      <c r="F53" s="282">
        <f t="shared" si="15"/>
        <v>0</v>
      </c>
      <c r="G53" s="293"/>
      <c r="H53" s="293">
        <f t="shared" si="16"/>
        <v>60.02290950744559</v>
      </c>
      <c r="I53" s="293"/>
      <c r="J53" s="293"/>
      <c r="K53" s="293">
        <f>H53</f>
        <v>60.02290950744559</v>
      </c>
      <c r="L53" s="293">
        <v>41.92</v>
      </c>
      <c r="M53" s="293">
        <v>0</v>
      </c>
      <c r="N53" s="295">
        <f t="shared" si="17"/>
        <v>60.02290950744559</v>
      </c>
      <c r="O53" s="281">
        <f t="shared" si="18"/>
        <v>41.92</v>
      </c>
      <c r="P53" s="282">
        <f t="shared" si="19"/>
        <v>41.92</v>
      </c>
      <c r="Q53" s="283">
        <f t="shared" si="20"/>
        <v>0</v>
      </c>
      <c r="R53" s="283">
        <f t="shared" si="21"/>
        <v>1</v>
      </c>
    </row>
    <row r="54" spans="1:18" ht="20.25">
      <c r="A54" s="279" t="s">
        <v>396</v>
      </c>
      <c r="B54" s="275"/>
      <c r="C54" s="275"/>
      <c r="D54" s="297">
        <f>SUM(D49:D53)</f>
        <v>3799.2000000000003</v>
      </c>
      <c r="E54" s="296"/>
      <c r="F54" s="282">
        <f t="shared" si="15"/>
        <v>0</v>
      </c>
      <c r="G54" s="293"/>
      <c r="H54" s="293">
        <f t="shared" si="16"/>
        <v>86.11286586649821</v>
      </c>
      <c r="I54" s="293"/>
      <c r="J54" s="293"/>
      <c r="K54" s="293">
        <f aca="true" t="shared" si="22" ref="K54:K59">L54/D54*1000</f>
        <v>86.11286586649821</v>
      </c>
      <c r="L54" s="293">
        <f>SUM(L49:L53)</f>
        <v>327.16</v>
      </c>
      <c r="M54" s="293">
        <v>0</v>
      </c>
      <c r="N54" s="295">
        <f t="shared" si="17"/>
        <v>86.11286586649821</v>
      </c>
      <c r="O54" s="281">
        <f t="shared" si="18"/>
        <v>327.16</v>
      </c>
      <c r="P54" s="282">
        <f t="shared" si="19"/>
        <v>327.16</v>
      </c>
      <c r="Q54" s="283">
        <f t="shared" si="20"/>
        <v>0</v>
      </c>
      <c r="R54" s="283">
        <f t="shared" si="21"/>
        <v>1</v>
      </c>
    </row>
    <row r="55" spans="1:18" ht="20.25">
      <c r="A55" s="279" t="s">
        <v>624</v>
      </c>
      <c r="B55" s="275">
        <v>100</v>
      </c>
      <c r="C55" s="275"/>
      <c r="D55" s="293">
        <v>2925.37</v>
      </c>
      <c r="E55" s="293"/>
      <c r="F55" s="282">
        <f t="shared" si="15"/>
        <v>0</v>
      </c>
      <c r="G55" s="293"/>
      <c r="H55" s="293">
        <f t="shared" si="16"/>
        <v>73.89150774090116</v>
      </c>
      <c r="I55" s="293"/>
      <c r="J55" s="293"/>
      <c r="K55" s="293">
        <f t="shared" si="22"/>
        <v>73.89150774090116</v>
      </c>
      <c r="L55" s="293">
        <v>216.16</v>
      </c>
      <c r="M55" s="293">
        <v>0</v>
      </c>
      <c r="N55" s="295">
        <f t="shared" si="17"/>
        <v>73.89150774090116</v>
      </c>
      <c r="O55" s="281">
        <f t="shared" si="18"/>
        <v>216.16000000000003</v>
      </c>
      <c r="P55" s="282">
        <f t="shared" si="19"/>
        <v>216.16000000000003</v>
      </c>
      <c r="Q55" s="283">
        <f t="shared" si="20"/>
        <v>0</v>
      </c>
      <c r="R55" s="283">
        <f t="shared" si="21"/>
        <v>1.0000000000000002</v>
      </c>
    </row>
    <row r="56" spans="1:18" ht="20.25">
      <c r="A56" s="279" t="s">
        <v>623</v>
      </c>
      <c r="B56" s="275">
        <v>100</v>
      </c>
      <c r="C56" s="275"/>
      <c r="D56" s="293">
        <v>254.25</v>
      </c>
      <c r="E56" s="293"/>
      <c r="F56" s="282">
        <f t="shared" si="15"/>
        <v>0</v>
      </c>
      <c r="G56" s="293"/>
      <c r="H56" s="293">
        <f t="shared" si="16"/>
        <v>46.13569321533924</v>
      </c>
      <c r="I56" s="293"/>
      <c r="J56" s="293"/>
      <c r="K56" s="293">
        <f t="shared" si="22"/>
        <v>46.13569321533924</v>
      </c>
      <c r="L56" s="293">
        <v>11.73</v>
      </c>
      <c r="M56" s="293">
        <v>0</v>
      </c>
      <c r="N56" s="295">
        <f t="shared" si="17"/>
        <v>46.13569321533924</v>
      </c>
      <c r="O56" s="281">
        <f t="shared" si="18"/>
        <v>11.730000000000002</v>
      </c>
      <c r="P56" s="282">
        <f t="shared" si="19"/>
        <v>11.730000000000002</v>
      </c>
      <c r="Q56" s="283">
        <f t="shared" si="20"/>
        <v>0</v>
      </c>
      <c r="R56" s="283">
        <f t="shared" si="21"/>
        <v>1.0000000000000002</v>
      </c>
    </row>
    <row r="57" spans="1:18" ht="20.25">
      <c r="A57" s="279" t="s">
        <v>396</v>
      </c>
      <c r="B57" s="275"/>
      <c r="C57" s="275"/>
      <c r="D57" s="297">
        <f>SUM(D54:D56)</f>
        <v>6978.82</v>
      </c>
      <c r="E57" s="296"/>
      <c r="F57" s="282">
        <f t="shared" si="15"/>
        <v>0</v>
      </c>
      <c r="G57" s="293"/>
      <c r="H57" s="297">
        <f t="shared" si="16"/>
        <v>79.53350279846738</v>
      </c>
      <c r="I57" s="293"/>
      <c r="J57" s="293"/>
      <c r="K57" s="293">
        <f t="shared" si="22"/>
        <v>79.53350279846738</v>
      </c>
      <c r="L57" s="297">
        <f>SUM(L54:L56)</f>
        <v>555.0500000000001</v>
      </c>
      <c r="M57" s="293">
        <v>0</v>
      </c>
      <c r="N57" s="295">
        <f t="shared" si="17"/>
        <v>79.53350279846738</v>
      </c>
      <c r="O57" s="281">
        <f t="shared" si="18"/>
        <v>555.0500000000001</v>
      </c>
      <c r="P57" s="282">
        <f t="shared" si="19"/>
        <v>555.0500000000001</v>
      </c>
      <c r="Q57" s="283">
        <f t="shared" si="20"/>
        <v>0</v>
      </c>
      <c r="R57" s="283">
        <f t="shared" si="21"/>
        <v>1</v>
      </c>
    </row>
    <row r="58" spans="1:18" ht="20.25">
      <c r="A58" s="279" t="s">
        <v>450</v>
      </c>
      <c r="B58" s="275">
        <v>100</v>
      </c>
      <c r="C58" s="275"/>
      <c r="D58" s="293">
        <v>2682.49</v>
      </c>
      <c r="E58" s="293"/>
      <c r="F58" s="282">
        <f t="shared" si="15"/>
        <v>0</v>
      </c>
      <c r="G58" s="293">
        <f>'[1]ARR13-14TRT-21(PY,CY&amp;EY)'!D143</f>
        <v>0</v>
      </c>
      <c r="H58" s="293">
        <f t="shared" si="16"/>
        <v>216.052995537728</v>
      </c>
      <c r="I58" s="293">
        <f>'[1]ARR13-14TRT-21(PY,CY&amp;EY)'!F143</f>
        <v>0</v>
      </c>
      <c r="J58" s="293">
        <f>'[1]ARR13-14TRT-21(PY,CY&amp;EY)'!G143</f>
        <v>0</v>
      </c>
      <c r="K58" s="293">
        <f t="shared" si="22"/>
        <v>216.052995537728</v>
      </c>
      <c r="L58" s="293">
        <v>579.56</v>
      </c>
      <c r="M58" s="293">
        <v>0</v>
      </c>
      <c r="N58" s="295">
        <f t="shared" si="17"/>
        <v>216.052995537728</v>
      </c>
      <c r="O58" s="281">
        <f t="shared" si="18"/>
        <v>579.56</v>
      </c>
      <c r="P58" s="282">
        <f t="shared" si="19"/>
        <v>579.56</v>
      </c>
      <c r="Q58" s="283">
        <f t="shared" si="20"/>
        <v>0</v>
      </c>
      <c r="R58" s="283">
        <f t="shared" si="21"/>
        <v>1</v>
      </c>
    </row>
    <row r="59" spans="1:18" ht="20.25">
      <c r="A59" s="279" t="s">
        <v>386</v>
      </c>
      <c r="B59" s="275">
        <v>100</v>
      </c>
      <c r="C59" s="275"/>
      <c r="D59" s="293">
        <v>3318.34</v>
      </c>
      <c r="E59" s="293"/>
      <c r="F59" s="282">
        <f t="shared" si="15"/>
        <v>0</v>
      </c>
      <c r="G59" s="293">
        <f>'[1]ARR13-14TRT-21(PY,CY&amp;EY)'!D144</f>
        <v>0</v>
      </c>
      <c r="H59" s="293">
        <f t="shared" si="16"/>
        <v>272.3259219971431</v>
      </c>
      <c r="I59" s="293">
        <f>'[1]ARR13-14TRT-21(PY,CY&amp;EY)'!F144</f>
        <v>0</v>
      </c>
      <c r="J59" s="293">
        <f>'[1]ARR13-14TRT-21(PY,CY&amp;EY)'!G144</f>
        <v>0</v>
      </c>
      <c r="K59" s="293">
        <f t="shared" si="22"/>
        <v>272.3259219971431</v>
      </c>
      <c r="L59" s="293">
        <v>903.67</v>
      </c>
      <c r="M59" s="293">
        <v>0</v>
      </c>
      <c r="N59" s="295">
        <f t="shared" si="17"/>
        <v>272.3259219971431</v>
      </c>
      <c r="O59" s="281">
        <f t="shared" si="18"/>
        <v>903.6699999999998</v>
      </c>
      <c r="P59" s="282">
        <f t="shared" si="19"/>
        <v>903.6699999999998</v>
      </c>
      <c r="Q59" s="283">
        <f t="shared" si="20"/>
        <v>0</v>
      </c>
      <c r="R59" s="283">
        <f t="shared" si="21"/>
        <v>0.9999999999999999</v>
      </c>
    </row>
    <row r="60" spans="1:18" ht="20.25">
      <c r="A60" s="278"/>
      <c r="B60" s="275"/>
      <c r="C60" s="275"/>
      <c r="D60" s="278"/>
      <c r="E60" s="278"/>
      <c r="F60" s="282">
        <f t="shared" si="15"/>
        <v>0</v>
      </c>
      <c r="G60" s="278"/>
      <c r="H60" s="293"/>
      <c r="I60" s="278"/>
      <c r="J60" s="278"/>
      <c r="K60" s="278"/>
      <c r="L60" s="278"/>
      <c r="M60" s="293">
        <v>0</v>
      </c>
      <c r="N60" s="295">
        <f t="shared" si="17"/>
        <v>0</v>
      </c>
      <c r="O60" s="281">
        <f t="shared" si="18"/>
        <v>0</v>
      </c>
      <c r="P60" s="282">
        <f t="shared" si="19"/>
        <v>0</v>
      </c>
      <c r="Q60" s="283"/>
      <c r="R60" s="283" t="e">
        <f t="shared" si="21"/>
        <v>#DIV/0!</v>
      </c>
    </row>
    <row r="61" spans="1:18" ht="20.25">
      <c r="A61" s="285" t="s">
        <v>622</v>
      </c>
      <c r="B61" s="275"/>
      <c r="C61" s="275"/>
      <c r="D61" s="278"/>
      <c r="E61" s="278"/>
      <c r="F61" s="282">
        <f t="shared" si="15"/>
        <v>0</v>
      </c>
      <c r="G61" s="278"/>
      <c r="H61" s="293"/>
      <c r="I61" s="278"/>
      <c r="J61" s="278"/>
      <c r="K61" s="278"/>
      <c r="L61" s="278"/>
      <c r="M61" s="293"/>
      <c r="N61" s="295"/>
      <c r="O61" s="281">
        <f t="shared" si="18"/>
        <v>0</v>
      </c>
      <c r="P61" s="282">
        <f t="shared" si="19"/>
        <v>0</v>
      </c>
      <c r="Q61" s="283"/>
      <c r="R61" s="283" t="e">
        <f t="shared" si="21"/>
        <v>#DIV/0!</v>
      </c>
    </row>
    <row r="62" spans="1:18" ht="20.25">
      <c r="A62" s="285" t="s">
        <v>621</v>
      </c>
      <c r="B62" s="275">
        <v>100</v>
      </c>
      <c r="C62" s="275"/>
      <c r="D62" s="293">
        <v>231.32</v>
      </c>
      <c r="E62" s="293"/>
      <c r="F62" s="282">
        <f t="shared" si="15"/>
        <v>0</v>
      </c>
      <c r="G62" s="278"/>
      <c r="H62" s="293">
        <f aca="true" t="shared" si="23" ref="H62:H68">L62/D62*1000</f>
        <v>368.0183295867197</v>
      </c>
      <c r="I62" s="278"/>
      <c r="J62" s="278"/>
      <c r="K62" s="293">
        <f aca="true" t="shared" si="24" ref="K62:K68">H62</f>
        <v>368.0183295867197</v>
      </c>
      <c r="L62" s="293">
        <v>85.13</v>
      </c>
      <c r="M62" s="293">
        <v>0</v>
      </c>
      <c r="N62" s="295">
        <f aca="true" t="shared" si="25" ref="N62:N68">K62+M62</f>
        <v>368.0183295867197</v>
      </c>
      <c r="O62" s="281">
        <f t="shared" si="18"/>
        <v>85.13</v>
      </c>
      <c r="P62" s="282">
        <f t="shared" si="19"/>
        <v>85.13</v>
      </c>
      <c r="Q62" s="283">
        <f aca="true" t="shared" si="26" ref="Q62:Q68">F62/O62</f>
        <v>0</v>
      </c>
      <c r="R62" s="283">
        <f t="shared" si="21"/>
        <v>1</v>
      </c>
    </row>
    <row r="63" spans="1:18" ht="20.25">
      <c r="A63" s="285" t="s">
        <v>620</v>
      </c>
      <c r="B63" s="275">
        <v>100</v>
      </c>
      <c r="C63" s="275"/>
      <c r="D63" s="293">
        <v>105.45</v>
      </c>
      <c r="E63" s="293"/>
      <c r="F63" s="282">
        <f t="shared" si="15"/>
        <v>0</v>
      </c>
      <c r="G63" s="278"/>
      <c r="H63" s="293">
        <f t="shared" si="23"/>
        <v>368.0417259364628</v>
      </c>
      <c r="I63" s="278"/>
      <c r="J63" s="278"/>
      <c r="K63" s="293">
        <f t="shared" si="24"/>
        <v>368.0417259364628</v>
      </c>
      <c r="L63" s="293">
        <v>38.81</v>
      </c>
      <c r="M63" s="293">
        <v>0</v>
      </c>
      <c r="N63" s="295">
        <f t="shared" si="25"/>
        <v>368.0417259364628</v>
      </c>
      <c r="O63" s="281">
        <f t="shared" si="18"/>
        <v>38.81</v>
      </c>
      <c r="P63" s="282">
        <f t="shared" si="19"/>
        <v>38.81</v>
      </c>
      <c r="Q63" s="283">
        <f t="shared" si="26"/>
        <v>0</v>
      </c>
      <c r="R63" s="283">
        <f t="shared" si="21"/>
        <v>1</v>
      </c>
    </row>
    <row r="64" spans="1:18" ht="20.25">
      <c r="A64" s="285" t="s">
        <v>618</v>
      </c>
      <c r="B64" s="275">
        <v>100</v>
      </c>
      <c r="C64" s="275"/>
      <c r="D64" s="293">
        <v>159.52</v>
      </c>
      <c r="E64" s="293"/>
      <c r="F64" s="282">
        <f t="shared" si="15"/>
        <v>0</v>
      </c>
      <c r="G64" s="278"/>
      <c r="H64" s="293">
        <f t="shared" si="23"/>
        <v>137.47492477432297</v>
      </c>
      <c r="I64" s="278"/>
      <c r="J64" s="278"/>
      <c r="K64" s="293">
        <f t="shared" si="24"/>
        <v>137.47492477432297</v>
      </c>
      <c r="L64" s="293">
        <v>21.93</v>
      </c>
      <c r="M64" s="293">
        <v>0</v>
      </c>
      <c r="N64" s="295">
        <f t="shared" si="25"/>
        <v>137.47492477432297</v>
      </c>
      <c r="O64" s="281">
        <f t="shared" si="18"/>
        <v>21.930000000000003</v>
      </c>
      <c r="P64" s="282">
        <f t="shared" si="19"/>
        <v>21.930000000000003</v>
      </c>
      <c r="Q64" s="283">
        <f t="shared" si="26"/>
        <v>0</v>
      </c>
      <c r="R64" s="283"/>
    </row>
    <row r="65" spans="1:18" ht="20.25">
      <c r="A65" s="298" t="s">
        <v>617</v>
      </c>
      <c r="B65" s="275">
        <v>100</v>
      </c>
      <c r="C65" s="275"/>
      <c r="D65" s="293">
        <v>422.95</v>
      </c>
      <c r="E65" s="293"/>
      <c r="F65" s="282">
        <f t="shared" si="15"/>
        <v>0</v>
      </c>
      <c r="G65" s="278"/>
      <c r="H65" s="293">
        <f t="shared" si="23"/>
        <v>137.51034401229458</v>
      </c>
      <c r="I65" s="293"/>
      <c r="J65" s="293"/>
      <c r="K65" s="293">
        <f t="shared" si="24"/>
        <v>137.51034401229458</v>
      </c>
      <c r="L65" s="293">
        <v>58.16</v>
      </c>
      <c r="M65" s="293">
        <v>0</v>
      </c>
      <c r="N65" s="295">
        <f t="shared" si="25"/>
        <v>137.51034401229458</v>
      </c>
      <c r="O65" s="281">
        <f t="shared" si="18"/>
        <v>58.15999999999999</v>
      </c>
      <c r="P65" s="282">
        <f t="shared" si="19"/>
        <v>58.15999999999999</v>
      </c>
      <c r="Q65" s="283">
        <f t="shared" si="26"/>
        <v>0</v>
      </c>
      <c r="R65" s="283"/>
    </row>
    <row r="66" spans="1:18" ht="20.25">
      <c r="A66" s="298" t="s">
        <v>396</v>
      </c>
      <c r="B66" s="275"/>
      <c r="C66" s="275"/>
      <c r="D66" s="297">
        <f>SUM(D62:D65)</f>
        <v>919.24</v>
      </c>
      <c r="E66" s="293"/>
      <c r="F66" s="282">
        <f t="shared" si="15"/>
        <v>0</v>
      </c>
      <c r="G66" s="278"/>
      <c r="H66" s="297">
        <f t="shared" si="23"/>
        <v>221.95509333797483</v>
      </c>
      <c r="I66" s="293"/>
      <c r="J66" s="293"/>
      <c r="K66" s="297">
        <f t="shared" si="24"/>
        <v>221.95509333797483</v>
      </c>
      <c r="L66" s="297">
        <f>SUM(L62:L65)</f>
        <v>204.03</v>
      </c>
      <c r="M66" s="293">
        <v>0</v>
      </c>
      <c r="N66" s="303">
        <f t="shared" si="25"/>
        <v>221.95509333797483</v>
      </c>
      <c r="O66" s="260">
        <f t="shared" si="18"/>
        <v>204.02999999999997</v>
      </c>
      <c r="P66" s="282">
        <f t="shared" si="19"/>
        <v>204.02999999999997</v>
      </c>
      <c r="Q66" s="283">
        <f t="shared" si="26"/>
        <v>0</v>
      </c>
      <c r="R66" s="283"/>
    </row>
    <row r="67" spans="1:18" ht="20.25">
      <c r="A67" s="279" t="s">
        <v>509</v>
      </c>
      <c r="B67" s="275"/>
      <c r="C67" s="275"/>
      <c r="D67" s="293">
        <v>135.78</v>
      </c>
      <c r="E67" s="293"/>
      <c r="F67" s="282">
        <f t="shared" si="15"/>
        <v>0</v>
      </c>
      <c r="G67" s="293"/>
      <c r="H67" s="293">
        <f t="shared" si="23"/>
        <v>607.3059360730592</v>
      </c>
      <c r="I67" s="293"/>
      <c r="J67" s="293"/>
      <c r="K67" s="293">
        <f t="shared" si="24"/>
        <v>607.3059360730592</v>
      </c>
      <c r="L67" s="293">
        <v>82.46</v>
      </c>
      <c r="M67" s="293">
        <v>0</v>
      </c>
      <c r="N67" s="295">
        <f t="shared" si="25"/>
        <v>607.3059360730592</v>
      </c>
      <c r="O67" s="281">
        <f t="shared" si="18"/>
        <v>82.45999999999998</v>
      </c>
      <c r="P67" s="282">
        <f t="shared" si="19"/>
        <v>82.45999999999998</v>
      </c>
      <c r="Q67" s="283">
        <f t="shared" si="26"/>
        <v>0</v>
      </c>
      <c r="R67" s="283">
        <f>P67/L67</f>
        <v>0.9999999999999998</v>
      </c>
    </row>
    <row r="68" spans="1:18" ht="20.25">
      <c r="A68" s="279" t="s">
        <v>20</v>
      </c>
      <c r="B68" s="275">
        <v>100</v>
      </c>
      <c r="C68" s="275"/>
      <c r="D68" s="293">
        <v>3870.49</v>
      </c>
      <c r="E68" s="293"/>
      <c r="F68" s="282">
        <f t="shared" si="15"/>
        <v>0</v>
      </c>
      <c r="G68" s="293"/>
      <c r="H68" s="293">
        <f t="shared" si="23"/>
        <v>221.1141225012854</v>
      </c>
      <c r="I68" s="293"/>
      <c r="J68" s="293"/>
      <c r="K68" s="293">
        <f t="shared" si="24"/>
        <v>221.1141225012854</v>
      </c>
      <c r="L68" s="293">
        <v>855.82</v>
      </c>
      <c r="M68" s="293">
        <v>0</v>
      </c>
      <c r="N68" s="295">
        <f t="shared" si="25"/>
        <v>221.1141225012854</v>
      </c>
      <c r="O68" s="281">
        <f t="shared" si="18"/>
        <v>855.8200000000002</v>
      </c>
      <c r="P68" s="282">
        <f t="shared" si="19"/>
        <v>855.8200000000002</v>
      </c>
      <c r="Q68" s="283">
        <f t="shared" si="26"/>
        <v>0</v>
      </c>
      <c r="R68" s="283">
        <f>P68/L68</f>
        <v>1.0000000000000002</v>
      </c>
    </row>
    <row r="69" spans="1:18" ht="20.25">
      <c r="A69" s="298" t="s">
        <v>645</v>
      </c>
      <c r="B69" s="275">
        <v>100</v>
      </c>
      <c r="C69" s="275"/>
      <c r="D69" s="293">
        <v>0</v>
      </c>
      <c r="E69" s="293"/>
      <c r="F69" s="282"/>
      <c r="G69" s="293"/>
      <c r="H69" s="293"/>
      <c r="I69" s="293"/>
      <c r="J69" s="293"/>
      <c r="K69" s="293"/>
      <c r="L69" s="293"/>
      <c r="M69" s="293"/>
      <c r="N69" s="295"/>
      <c r="O69" s="281"/>
      <c r="P69" s="282"/>
      <c r="Q69" s="283"/>
      <c r="R69" s="283"/>
    </row>
    <row r="70" spans="1:18" ht="20.25">
      <c r="A70" s="279" t="s">
        <v>381</v>
      </c>
      <c r="B70" s="286"/>
      <c r="C70" s="286"/>
      <c r="D70" s="297">
        <f>D66+D67+D68+D69</f>
        <v>4925.51</v>
      </c>
      <c r="E70" s="296"/>
      <c r="F70" s="282">
        <f aca="true" t="shared" si="27" ref="F70:F83">O70-P70</f>
        <v>0</v>
      </c>
      <c r="G70" s="293"/>
      <c r="H70" s="293">
        <f>L70/D70*1000</f>
        <v>231.91710097025484</v>
      </c>
      <c r="I70" s="293"/>
      <c r="J70" s="293"/>
      <c r="K70" s="293"/>
      <c r="L70" s="293">
        <f>L66+L67+L68+L69</f>
        <v>1142.31</v>
      </c>
      <c r="M70" s="293">
        <v>0</v>
      </c>
      <c r="N70" s="295">
        <f>K70+M70</f>
        <v>0</v>
      </c>
      <c r="O70" s="297">
        <f>O66+O67+O68+O69</f>
        <v>1142.3100000000002</v>
      </c>
      <c r="P70" s="282">
        <f>D70*H70/1000</f>
        <v>1142.31</v>
      </c>
      <c r="Q70" s="283">
        <f aca="true" t="shared" si="28" ref="Q70:Q83">F70/O70</f>
        <v>0</v>
      </c>
      <c r="R70" s="283">
        <f>P70/L70</f>
        <v>1</v>
      </c>
    </row>
    <row r="71" spans="1:18" ht="20.25">
      <c r="A71" s="279" t="s">
        <v>614</v>
      </c>
      <c r="B71" s="286"/>
      <c r="C71" s="286"/>
      <c r="D71" s="297">
        <f>D70+D57+D58+D59</f>
        <v>17905.16</v>
      </c>
      <c r="E71" s="293"/>
      <c r="F71" s="282">
        <f t="shared" si="27"/>
        <v>0</v>
      </c>
      <c r="G71" s="293"/>
      <c r="H71" s="293"/>
      <c r="I71" s="293"/>
      <c r="J71" s="293"/>
      <c r="K71" s="293"/>
      <c r="L71" s="297">
        <f>L70+L57+L58+L59</f>
        <v>3180.59</v>
      </c>
      <c r="M71" s="293">
        <v>0</v>
      </c>
      <c r="N71" s="293"/>
      <c r="O71" s="297">
        <f>O70+O57+O58+O59</f>
        <v>3180.59</v>
      </c>
      <c r="P71" s="297">
        <f>P70+P57+P58+P59</f>
        <v>3180.59</v>
      </c>
      <c r="Q71" s="283">
        <f t="shared" si="28"/>
        <v>0</v>
      </c>
      <c r="R71" s="283">
        <f>P71/L71</f>
        <v>1</v>
      </c>
    </row>
    <row r="72" spans="1:18" ht="20.25">
      <c r="A72" s="279" t="s">
        <v>613</v>
      </c>
      <c r="B72" s="275">
        <v>31.88</v>
      </c>
      <c r="C72" s="275"/>
      <c r="D72" s="293">
        <v>2024.95</v>
      </c>
      <c r="E72" s="293"/>
      <c r="F72" s="282">
        <f t="shared" si="27"/>
        <v>0</v>
      </c>
      <c r="G72" s="293">
        <f>'[1]ARR13-14TRT-21(PY,CY&amp;EY)'!D189</f>
        <v>0</v>
      </c>
      <c r="H72" s="293">
        <f aca="true" t="shared" si="29" ref="H72:H83">L72/D72*1000</f>
        <v>252.41610903972938</v>
      </c>
      <c r="I72" s="293">
        <f>'[1]ARR13-14TRT-21(PY,CY&amp;EY)'!F189</f>
        <v>0</v>
      </c>
      <c r="J72" s="293">
        <f>'[1]ARR13-14TRT-21(PY,CY&amp;EY)'!G189</f>
        <v>0</v>
      </c>
      <c r="K72" s="293">
        <f aca="true" t="shared" si="30" ref="K72:K86">H72</f>
        <v>252.41610903972938</v>
      </c>
      <c r="L72" s="293">
        <v>511.13</v>
      </c>
      <c r="M72" s="293">
        <v>0</v>
      </c>
      <c r="N72" s="295">
        <f aca="true" t="shared" si="31" ref="N72:N87">K72+M72</f>
        <v>252.41610903972938</v>
      </c>
      <c r="O72" s="281">
        <f aca="true" t="shared" si="32" ref="O72:O86">N72*D72/1000</f>
        <v>511.13</v>
      </c>
      <c r="P72" s="282">
        <f aca="true" t="shared" si="33" ref="P72:P86">D72*H72/1000</f>
        <v>511.13</v>
      </c>
      <c r="Q72" s="283">
        <f t="shared" si="28"/>
        <v>0</v>
      </c>
      <c r="R72" s="283">
        <f>P72/L72</f>
        <v>1</v>
      </c>
    </row>
    <row r="73" spans="1:18" ht="20.25">
      <c r="A73" s="279" t="s">
        <v>602</v>
      </c>
      <c r="B73" s="275">
        <v>10</v>
      </c>
      <c r="C73" s="275"/>
      <c r="D73" s="293">
        <v>1402.13</v>
      </c>
      <c r="E73" s="293"/>
      <c r="F73" s="282">
        <f t="shared" si="27"/>
        <v>0</v>
      </c>
      <c r="G73" s="293">
        <f>'[1]ARR13-14TRT-21(PY,CY&amp;EY)'!D190</f>
        <v>0</v>
      </c>
      <c r="H73" s="293">
        <f t="shared" si="29"/>
        <v>245.3410168814589</v>
      </c>
      <c r="I73" s="293">
        <f>'[1]ARR13-14TRT-21(PY,CY&amp;EY)'!F190</f>
        <v>0</v>
      </c>
      <c r="J73" s="293">
        <f>'[1]ARR13-14TRT-21(PY,CY&amp;EY)'!G190</f>
        <v>0</v>
      </c>
      <c r="K73" s="293">
        <f t="shared" si="30"/>
        <v>245.3410168814589</v>
      </c>
      <c r="L73" s="293">
        <v>344</v>
      </c>
      <c r="M73" s="293">
        <v>0</v>
      </c>
      <c r="N73" s="295">
        <f t="shared" si="31"/>
        <v>245.3410168814589</v>
      </c>
      <c r="O73" s="281">
        <f t="shared" si="32"/>
        <v>344</v>
      </c>
      <c r="P73" s="282">
        <f t="shared" si="33"/>
        <v>344</v>
      </c>
      <c r="Q73" s="283">
        <f t="shared" si="28"/>
        <v>0</v>
      </c>
      <c r="R73" s="283">
        <f>P73/L73</f>
        <v>1</v>
      </c>
    </row>
    <row r="74" spans="1:18" ht="20.25">
      <c r="A74" s="279" t="s">
        <v>605</v>
      </c>
      <c r="B74" s="275">
        <v>13.71</v>
      </c>
      <c r="C74" s="275"/>
      <c r="D74" s="293">
        <v>1306.5</v>
      </c>
      <c r="E74" s="293"/>
      <c r="F74" s="282">
        <f t="shared" si="27"/>
        <v>0</v>
      </c>
      <c r="G74" s="293">
        <f>'[1]ARR13-14TRT-21(PY,CY&amp;EY)'!D191</f>
        <v>0</v>
      </c>
      <c r="H74" s="293">
        <f t="shared" si="29"/>
        <v>435.8897818599311</v>
      </c>
      <c r="I74" s="293">
        <f>'[1]ARR13-14TRT-21(PY,CY&amp;EY)'!F191</f>
        <v>0</v>
      </c>
      <c r="J74" s="293">
        <f>'[1]ARR13-14TRT-21(PY,CY&amp;EY)'!G191</f>
        <v>0</v>
      </c>
      <c r="K74" s="293">
        <f t="shared" si="30"/>
        <v>435.8897818599311</v>
      </c>
      <c r="L74" s="293">
        <v>569.49</v>
      </c>
      <c r="M74" s="293">
        <v>0</v>
      </c>
      <c r="N74" s="295">
        <f t="shared" si="31"/>
        <v>435.8897818599311</v>
      </c>
      <c r="O74" s="281">
        <f t="shared" si="32"/>
        <v>569.49</v>
      </c>
      <c r="P74" s="282">
        <f t="shared" si="33"/>
        <v>569.49</v>
      </c>
      <c r="Q74" s="283">
        <f t="shared" si="28"/>
        <v>0</v>
      </c>
      <c r="R74" s="283">
        <f>P74/L74</f>
        <v>1</v>
      </c>
    </row>
    <row r="75" spans="1:18" ht="20.25">
      <c r="A75" s="279" t="s">
        <v>600</v>
      </c>
      <c r="B75" s="275">
        <v>28.54</v>
      </c>
      <c r="C75" s="275"/>
      <c r="D75" s="293">
        <v>729.91</v>
      </c>
      <c r="E75" s="293"/>
      <c r="F75" s="282">
        <f t="shared" si="27"/>
        <v>0</v>
      </c>
      <c r="G75" s="293"/>
      <c r="H75" s="293">
        <f t="shared" si="29"/>
        <v>528.1610061514433</v>
      </c>
      <c r="I75" s="293"/>
      <c r="J75" s="293"/>
      <c r="K75" s="293">
        <f t="shared" si="30"/>
        <v>528.1610061514433</v>
      </c>
      <c r="L75" s="293">
        <v>385.51</v>
      </c>
      <c r="M75" s="293">
        <v>0</v>
      </c>
      <c r="N75" s="295">
        <f t="shared" si="31"/>
        <v>528.1610061514433</v>
      </c>
      <c r="O75" s="281">
        <f t="shared" si="32"/>
        <v>385.50999999999993</v>
      </c>
      <c r="P75" s="282">
        <f t="shared" si="33"/>
        <v>385.50999999999993</v>
      </c>
      <c r="Q75" s="283">
        <f t="shared" si="28"/>
        <v>0</v>
      </c>
      <c r="R75" s="283"/>
    </row>
    <row r="76" spans="1:18" ht="20.25">
      <c r="A76" s="279" t="s">
        <v>601</v>
      </c>
      <c r="B76" s="275">
        <v>15.32</v>
      </c>
      <c r="C76" s="275"/>
      <c r="D76" s="293">
        <v>775.22</v>
      </c>
      <c r="E76" s="293"/>
      <c r="F76" s="282">
        <f t="shared" si="27"/>
        <v>0</v>
      </c>
      <c r="G76" s="293">
        <f>'[1]ARR13-14TRT-21(PY,CY&amp;EY)'!D193</f>
        <v>0</v>
      </c>
      <c r="H76" s="293">
        <f t="shared" si="29"/>
        <v>400.10577642475687</v>
      </c>
      <c r="I76" s="293">
        <f>'[1]ARR13-14TRT-21(PY,CY&amp;EY)'!F193</f>
        <v>0</v>
      </c>
      <c r="J76" s="293">
        <f>'[1]ARR13-14TRT-21(PY,CY&amp;EY)'!G193</f>
        <v>0</v>
      </c>
      <c r="K76" s="293">
        <f t="shared" si="30"/>
        <v>400.10577642475687</v>
      </c>
      <c r="L76" s="293">
        <v>310.17</v>
      </c>
      <c r="M76" s="293">
        <v>0</v>
      </c>
      <c r="N76" s="295">
        <f t="shared" si="31"/>
        <v>400.10577642475687</v>
      </c>
      <c r="O76" s="281">
        <f t="shared" si="32"/>
        <v>310.1700000000001</v>
      </c>
      <c r="P76" s="282">
        <f t="shared" si="33"/>
        <v>310.1700000000001</v>
      </c>
      <c r="Q76" s="283">
        <f t="shared" si="28"/>
        <v>0</v>
      </c>
      <c r="R76" s="283">
        <f aca="true" t="shared" si="34" ref="R76:R82">P76/L76</f>
        <v>1.0000000000000002</v>
      </c>
    </row>
    <row r="77" spans="1:18" ht="20.25">
      <c r="A77" s="279" t="s">
        <v>603</v>
      </c>
      <c r="B77" s="275">
        <v>2.14</v>
      </c>
      <c r="C77" s="275"/>
      <c r="D77" s="293">
        <v>190.53</v>
      </c>
      <c r="E77" s="293"/>
      <c r="F77" s="282">
        <f t="shared" si="27"/>
        <v>0</v>
      </c>
      <c r="G77" s="293">
        <f>'[1]ARR13-14TRT-21(PY,CY&amp;EY)'!D194</f>
        <v>0</v>
      </c>
      <c r="H77" s="293">
        <f t="shared" si="29"/>
        <v>412.9008555083189</v>
      </c>
      <c r="I77" s="293">
        <f>'[1]ARR13-14TRT-21(PY,CY&amp;EY)'!F194</f>
        <v>0</v>
      </c>
      <c r="J77" s="293">
        <f>'[1]ARR13-14TRT-21(PY,CY&amp;EY)'!G194</f>
        <v>0</v>
      </c>
      <c r="K77" s="293">
        <f t="shared" si="30"/>
        <v>412.9008555083189</v>
      </c>
      <c r="L77" s="293">
        <v>78.67</v>
      </c>
      <c r="M77" s="293">
        <v>0</v>
      </c>
      <c r="N77" s="295">
        <f t="shared" si="31"/>
        <v>412.9008555083189</v>
      </c>
      <c r="O77" s="281">
        <f t="shared" si="32"/>
        <v>78.67</v>
      </c>
      <c r="P77" s="282">
        <f t="shared" si="33"/>
        <v>78.67</v>
      </c>
      <c r="Q77" s="283">
        <f t="shared" si="28"/>
        <v>0</v>
      </c>
      <c r="R77" s="283">
        <f t="shared" si="34"/>
        <v>1</v>
      </c>
    </row>
    <row r="78" spans="1:18" ht="20.25">
      <c r="A78" s="279" t="s">
        <v>397</v>
      </c>
      <c r="B78" s="275">
        <v>15.19</v>
      </c>
      <c r="C78" s="275"/>
      <c r="D78" s="293">
        <v>273.94</v>
      </c>
      <c r="E78" s="293"/>
      <c r="F78" s="282">
        <f t="shared" si="27"/>
        <v>0</v>
      </c>
      <c r="G78" s="293">
        <f>'[1]ARR13-14TRT-21(PY,CY&amp;EY)'!D195</f>
        <v>0</v>
      </c>
      <c r="H78" s="293">
        <f t="shared" si="29"/>
        <v>188.65444987953566</v>
      </c>
      <c r="I78" s="293">
        <f>'[1]ARR13-14TRT-21(PY,CY&amp;EY)'!F195</f>
        <v>0</v>
      </c>
      <c r="J78" s="293">
        <f>'[1]ARR13-14TRT-21(PY,CY&amp;EY)'!G195</f>
        <v>0</v>
      </c>
      <c r="K78" s="293">
        <f t="shared" si="30"/>
        <v>188.65444987953566</v>
      </c>
      <c r="L78" s="293">
        <v>51.68</v>
      </c>
      <c r="M78" s="293">
        <v>0</v>
      </c>
      <c r="N78" s="295">
        <f t="shared" si="31"/>
        <v>188.65444987953566</v>
      </c>
      <c r="O78" s="281">
        <f t="shared" si="32"/>
        <v>51.68</v>
      </c>
      <c r="P78" s="282">
        <f t="shared" si="33"/>
        <v>51.68</v>
      </c>
      <c r="Q78" s="283">
        <f t="shared" si="28"/>
        <v>0</v>
      </c>
      <c r="R78" s="283">
        <f t="shared" si="34"/>
        <v>1</v>
      </c>
    </row>
    <row r="79" spans="1:18" ht="20.25">
      <c r="A79" s="279" t="s">
        <v>612</v>
      </c>
      <c r="B79" s="275">
        <v>4.25</v>
      </c>
      <c r="C79" s="275"/>
      <c r="D79" s="293">
        <v>151.51</v>
      </c>
      <c r="E79" s="293"/>
      <c r="F79" s="282">
        <f t="shared" si="27"/>
        <v>0</v>
      </c>
      <c r="G79" s="293">
        <f>'[1]ARR13-14TRT-21(PY,CY&amp;EY)'!D196</f>
        <v>0</v>
      </c>
      <c r="H79" s="293">
        <f t="shared" si="29"/>
        <v>207.3130486436539</v>
      </c>
      <c r="I79" s="293">
        <f>'[1]ARR13-14TRT-21(PY,CY&amp;EY)'!F196</f>
        <v>0</v>
      </c>
      <c r="J79" s="293">
        <f>'[1]ARR13-14TRT-21(PY,CY&amp;EY)'!G196</f>
        <v>0</v>
      </c>
      <c r="K79" s="293">
        <f t="shared" si="30"/>
        <v>207.3130486436539</v>
      </c>
      <c r="L79" s="293">
        <v>31.41</v>
      </c>
      <c r="M79" s="293">
        <v>0</v>
      </c>
      <c r="N79" s="295">
        <f t="shared" si="31"/>
        <v>207.3130486436539</v>
      </c>
      <c r="O79" s="281">
        <f t="shared" si="32"/>
        <v>31.41</v>
      </c>
      <c r="P79" s="282">
        <f t="shared" si="33"/>
        <v>31.41</v>
      </c>
      <c r="Q79" s="283">
        <f t="shared" si="28"/>
        <v>0</v>
      </c>
      <c r="R79" s="283">
        <f t="shared" si="34"/>
        <v>1</v>
      </c>
    </row>
    <row r="80" spans="1:18" ht="20.25">
      <c r="A80" s="279" t="s">
        <v>604</v>
      </c>
      <c r="B80" s="275">
        <v>23.4</v>
      </c>
      <c r="C80" s="275"/>
      <c r="D80" s="293">
        <v>567.62</v>
      </c>
      <c r="E80" s="293"/>
      <c r="F80" s="282">
        <f t="shared" si="27"/>
        <v>0</v>
      </c>
      <c r="G80" s="293">
        <f>'[1]ARR13-14TRT-21(PY,CY&amp;EY)'!D197</f>
        <v>0</v>
      </c>
      <c r="H80" s="293">
        <f t="shared" si="29"/>
        <v>232.0918924632677</v>
      </c>
      <c r="I80" s="293">
        <f>'[1]ARR13-14TRT-21(PY,CY&amp;EY)'!F197</f>
        <v>0</v>
      </c>
      <c r="J80" s="293">
        <f>'[1]ARR13-14TRT-21(PY,CY&amp;EY)'!G197</f>
        <v>0</v>
      </c>
      <c r="K80" s="293">
        <f t="shared" si="30"/>
        <v>232.0918924632677</v>
      </c>
      <c r="L80" s="293">
        <v>131.74</v>
      </c>
      <c r="M80" s="293">
        <v>0</v>
      </c>
      <c r="N80" s="295">
        <f t="shared" si="31"/>
        <v>232.0918924632677</v>
      </c>
      <c r="O80" s="281">
        <f t="shared" si="32"/>
        <v>131.74</v>
      </c>
      <c r="P80" s="282">
        <f t="shared" si="33"/>
        <v>131.74</v>
      </c>
      <c r="Q80" s="283">
        <f t="shared" si="28"/>
        <v>0</v>
      </c>
      <c r="R80" s="283">
        <f t="shared" si="34"/>
        <v>1</v>
      </c>
    </row>
    <row r="81" spans="1:18" ht="20.25">
      <c r="A81" s="279" t="s">
        <v>611</v>
      </c>
      <c r="B81" s="275"/>
      <c r="C81" s="275"/>
      <c r="D81" s="297">
        <f>SUM(D72:D80)</f>
        <v>7422.3099999999995</v>
      </c>
      <c r="E81" s="296"/>
      <c r="F81" s="282">
        <f t="shared" si="27"/>
        <v>0</v>
      </c>
      <c r="G81" s="293"/>
      <c r="H81" s="293">
        <f t="shared" si="29"/>
        <v>325.20738152946984</v>
      </c>
      <c r="I81" s="293"/>
      <c r="J81" s="293"/>
      <c r="K81" s="293">
        <f t="shared" si="30"/>
        <v>325.20738152946984</v>
      </c>
      <c r="L81" s="293">
        <f>SUM(L72:L80)-0.01</f>
        <v>2413.789999999999</v>
      </c>
      <c r="M81" s="293">
        <v>0</v>
      </c>
      <c r="N81" s="295">
        <f t="shared" si="31"/>
        <v>325.20738152946984</v>
      </c>
      <c r="O81" s="281">
        <f t="shared" si="32"/>
        <v>2413.789999999999</v>
      </c>
      <c r="P81" s="282">
        <f t="shared" si="33"/>
        <v>2413.789999999999</v>
      </c>
      <c r="Q81" s="283">
        <f t="shared" si="28"/>
        <v>0</v>
      </c>
      <c r="R81" s="283">
        <f t="shared" si="34"/>
        <v>1</v>
      </c>
    </row>
    <row r="82" spans="1:18" ht="20.25">
      <c r="A82" s="279" t="s">
        <v>772</v>
      </c>
      <c r="B82" s="286"/>
      <c r="C82" s="286"/>
      <c r="D82" s="293">
        <v>234.28</v>
      </c>
      <c r="E82" s="293"/>
      <c r="F82" s="282">
        <f t="shared" si="27"/>
        <v>0</v>
      </c>
      <c r="G82" s="293">
        <v>0</v>
      </c>
      <c r="H82" s="293">
        <f t="shared" si="29"/>
        <v>231.3044220590746</v>
      </c>
      <c r="I82" s="293">
        <v>0</v>
      </c>
      <c r="J82" s="293">
        <v>0</v>
      </c>
      <c r="K82" s="293">
        <f t="shared" si="30"/>
        <v>231.3044220590746</v>
      </c>
      <c r="L82" s="293">
        <v>54.19</v>
      </c>
      <c r="M82" s="293">
        <v>0</v>
      </c>
      <c r="N82" s="295">
        <f t="shared" si="31"/>
        <v>231.3044220590746</v>
      </c>
      <c r="O82" s="281">
        <f t="shared" si="32"/>
        <v>54.19</v>
      </c>
      <c r="P82" s="282">
        <f t="shared" si="33"/>
        <v>54.19</v>
      </c>
      <c r="Q82" s="283">
        <f t="shared" si="28"/>
        <v>0</v>
      </c>
      <c r="R82" s="283">
        <f t="shared" si="34"/>
        <v>1</v>
      </c>
    </row>
    <row r="83" spans="1:18" ht="20.25">
      <c r="A83" s="279" t="s">
        <v>644</v>
      </c>
      <c r="B83" s="286"/>
      <c r="C83" s="286"/>
      <c r="D83" s="293">
        <v>20.91</v>
      </c>
      <c r="E83" s="293"/>
      <c r="F83" s="282">
        <f t="shared" si="27"/>
        <v>0</v>
      </c>
      <c r="G83" s="293">
        <v>0</v>
      </c>
      <c r="H83" s="293">
        <f t="shared" si="29"/>
        <v>250.59780009564804</v>
      </c>
      <c r="I83" s="293">
        <v>0</v>
      </c>
      <c r="J83" s="293">
        <v>0</v>
      </c>
      <c r="K83" s="293">
        <f t="shared" si="30"/>
        <v>250.59780009564804</v>
      </c>
      <c r="L83" s="293">
        <v>5.24</v>
      </c>
      <c r="M83" s="293">
        <v>0</v>
      </c>
      <c r="N83" s="295">
        <f t="shared" si="31"/>
        <v>250.59780009564804</v>
      </c>
      <c r="O83" s="281">
        <f t="shared" si="32"/>
        <v>5.240000000000001</v>
      </c>
      <c r="P83" s="282">
        <f t="shared" si="33"/>
        <v>5.240000000000001</v>
      </c>
      <c r="Q83" s="283">
        <f t="shared" si="28"/>
        <v>0</v>
      </c>
      <c r="R83" s="283"/>
    </row>
    <row r="84" spans="1:18" ht="20.25">
      <c r="A84" s="279" t="s">
        <v>643</v>
      </c>
      <c r="B84" s="286"/>
      <c r="C84" s="286"/>
      <c r="D84" s="293"/>
      <c r="E84" s="293"/>
      <c r="F84" s="282"/>
      <c r="G84" s="293">
        <v>0</v>
      </c>
      <c r="H84" s="293"/>
      <c r="I84" s="293">
        <v>0</v>
      </c>
      <c r="J84" s="293">
        <v>0</v>
      </c>
      <c r="K84" s="293">
        <f t="shared" si="30"/>
        <v>0</v>
      </c>
      <c r="L84" s="293">
        <v>2.55</v>
      </c>
      <c r="M84" s="293">
        <v>0</v>
      </c>
      <c r="N84" s="295">
        <f t="shared" si="31"/>
        <v>0</v>
      </c>
      <c r="O84" s="281">
        <f t="shared" si="32"/>
        <v>0</v>
      </c>
      <c r="P84" s="282">
        <f t="shared" si="33"/>
        <v>0</v>
      </c>
      <c r="Q84" s="283"/>
      <c r="R84" s="283"/>
    </row>
    <row r="85" spans="1:18" ht="20.25">
      <c r="A85" s="279" t="str">
        <f>'[1]ARR13-14TRT-21(PY,CY&amp;EY)'!B202</f>
        <v>SLDC UI Underdrawl</v>
      </c>
      <c r="B85" s="286"/>
      <c r="C85" s="286"/>
      <c r="D85" s="293">
        <v>0</v>
      </c>
      <c r="E85" s="293"/>
      <c r="F85" s="282">
        <f>O85-P85</f>
        <v>0</v>
      </c>
      <c r="G85" s="293">
        <v>0</v>
      </c>
      <c r="H85" s="293"/>
      <c r="I85" s="293">
        <v>0</v>
      </c>
      <c r="J85" s="293">
        <v>0</v>
      </c>
      <c r="K85" s="293">
        <f t="shared" si="30"/>
        <v>0</v>
      </c>
      <c r="L85" s="293">
        <v>0</v>
      </c>
      <c r="M85" s="293">
        <v>0</v>
      </c>
      <c r="N85" s="295">
        <f t="shared" si="31"/>
        <v>0</v>
      </c>
      <c r="O85" s="281">
        <f t="shared" si="32"/>
        <v>0</v>
      </c>
      <c r="P85" s="282">
        <f t="shared" si="33"/>
        <v>0</v>
      </c>
      <c r="Q85" s="283"/>
      <c r="R85" s="283"/>
    </row>
    <row r="86" spans="1:18" ht="20.25">
      <c r="A86" s="279" t="str">
        <f>'[1]ARR13-14TRT-21(PY,CY&amp;EY)'!B203</f>
        <v>Trading</v>
      </c>
      <c r="B86" s="286"/>
      <c r="C86" s="286"/>
      <c r="D86" s="293">
        <v>269.28</v>
      </c>
      <c r="E86" s="293"/>
      <c r="F86" s="282">
        <f>O86-P86</f>
        <v>0</v>
      </c>
      <c r="G86" s="293">
        <v>0</v>
      </c>
      <c r="H86" s="293">
        <f>L86/D86*1000</f>
        <v>298.7967914438503</v>
      </c>
      <c r="I86" s="293">
        <v>0</v>
      </c>
      <c r="J86" s="293">
        <v>0</v>
      </c>
      <c r="K86" s="293">
        <f t="shared" si="30"/>
        <v>298.7967914438503</v>
      </c>
      <c r="L86" s="293">
        <v>80.46</v>
      </c>
      <c r="M86" s="293">
        <v>0</v>
      </c>
      <c r="N86" s="295">
        <f t="shared" si="31"/>
        <v>298.7967914438503</v>
      </c>
      <c r="O86" s="281">
        <f t="shared" si="32"/>
        <v>80.46</v>
      </c>
      <c r="P86" s="282">
        <f t="shared" si="33"/>
        <v>80.46</v>
      </c>
      <c r="Q86" s="283">
        <f>F86/O86</f>
        <v>0</v>
      </c>
      <c r="R86" s="283"/>
    </row>
    <row r="87" spans="1:18" ht="20.25">
      <c r="A87" s="299" t="s">
        <v>642</v>
      </c>
      <c r="B87" s="286"/>
      <c r="C87" s="286"/>
      <c r="D87" s="293"/>
      <c r="E87" s="293"/>
      <c r="F87" s="293"/>
      <c r="G87" s="293"/>
      <c r="H87" s="293"/>
      <c r="I87" s="293"/>
      <c r="J87" s="293"/>
      <c r="K87" s="293"/>
      <c r="L87" s="293"/>
      <c r="M87" s="293"/>
      <c r="N87" s="295">
        <f t="shared" si="31"/>
        <v>0</v>
      </c>
      <c r="O87" s="295"/>
      <c r="P87" s="282"/>
      <c r="Q87" s="283"/>
      <c r="R87" s="283"/>
    </row>
    <row r="88" spans="1:18" ht="20.25">
      <c r="A88" s="299" t="s">
        <v>773</v>
      </c>
      <c r="B88" s="286"/>
      <c r="C88" s="286"/>
      <c r="D88" s="272">
        <v>1232.65</v>
      </c>
      <c r="E88" s="293"/>
      <c r="F88" s="293"/>
      <c r="G88" s="293"/>
      <c r="H88" s="293"/>
      <c r="I88" s="293"/>
      <c r="J88" s="293"/>
      <c r="K88" s="293"/>
      <c r="L88" s="293">
        <v>341.1</v>
      </c>
      <c r="M88" s="293"/>
      <c r="N88" s="295"/>
      <c r="O88" s="295"/>
      <c r="P88" s="282"/>
      <c r="Q88" s="283"/>
      <c r="R88" s="283"/>
    </row>
    <row r="89" spans="1:18" ht="20.25">
      <c r="A89" s="299" t="s">
        <v>641</v>
      </c>
      <c r="B89" s="286"/>
      <c r="C89" s="286"/>
      <c r="D89" s="293"/>
      <c r="E89" s="293"/>
      <c r="F89" s="293"/>
      <c r="G89" s="293"/>
      <c r="H89" s="293"/>
      <c r="I89" s="293"/>
      <c r="J89" s="293"/>
      <c r="K89" s="293"/>
      <c r="L89" s="293">
        <v>275.26</v>
      </c>
      <c r="M89" s="293"/>
      <c r="N89" s="295">
        <f>K89+M89</f>
        <v>0</v>
      </c>
      <c r="O89" s="295"/>
      <c r="P89" s="282"/>
      <c r="Q89" s="283"/>
      <c r="R89" s="283"/>
    </row>
    <row r="90" spans="1:18" ht="20.25">
      <c r="A90" s="279" t="s">
        <v>381</v>
      </c>
      <c r="B90" s="286"/>
      <c r="C90" s="286"/>
      <c r="D90" s="293">
        <f>D71+D81+D82+D83+D84+D85+D86+D89+D88</f>
        <v>27084.59</v>
      </c>
      <c r="E90" s="293"/>
      <c r="F90" s="293"/>
      <c r="G90" s="293"/>
      <c r="H90" s="293"/>
      <c r="I90" s="293"/>
      <c r="J90" s="293"/>
      <c r="K90" s="293"/>
      <c r="L90" s="293">
        <f>L71+L81+L82+L83+L84+L85+L86+L89+L88-0.02</f>
        <v>6353.159999999999</v>
      </c>
      <c r="M90" s="293"/>
      <c r="N90" s="295"/>
      <c r="O90" s="295"/>
      <c r="P90" s="293">
        <f>P71+P81+P82+P83+P84+P85+P86+P89+P87</f>
        <v>5734.269999999999</v>
      </c>
      <c r="Q90" s="283"/>
      <c r="R90" s="283">
        <f>P90/L90</f>
        <v>0.9025854850184789</v>
      </c>
    </row>
    <row r="91" spans="1:15" ht="20.25">
      <c r="A91" s="272"/>
      <c r="B91" s="272"/>
      <c r="C91" s="272"/>
      <c r="D91" s="272"/>
      <c r="E91" s="272"/>
      <c r="F91" s="272"/>
      <c r="G91" s="272"/>
      <c r="H91" s="272"/>
      <c r="I91" s="272"/>
      <c r="J91" s="272"/>
      <c r="K91" s="272"/>
      <c r="M91" s="272"/>
      <c r="N91" s="272"/>
      <c r="O91" s="272"/>
    </row>
    <row r="92" spans="1:15" ht="20.25">
      <c r="A92" s="272"/>
      <c r="B92" s="272"/>
      <c r="C92" s="272"/>
      <c r="D92" s="587"/>
      <c r="E92" s="272"/>
      <c r="F92" s="272"/>
      <c r="G92" s="272"/>
      <c r="H92" s="272"/>
      <c r="I92" s="272"/>
      <c r="J92" s="272"/>
      <c r="K92" s="272"/>
      <c r="M92" s="272"/>
      <c r="N92" s="272"/>
      <c r="O92" s="272"/>
    </row>
    <row r="93" spans="1:18" ht="20.25">
      <c r="A93" s="608"/>
      <c r="B93" s="609"/>
      <c r="C93" s="609"/>
      <c r="D93" s="609"/>
      <c r="E93" s="609"/>
      <c r="F93" s="609"/>
      <c r="G93" s="609"/>
      <c r="H93" s="609"/>
      <c r="I93" s="609"/>
      <c r="J93" s="609"/>
      <c r="K93" s="289"/>
      <c r="L93" s="289"/>
      <c r="M93" s="289"/>
      <c r="N93" s="289"/>
      <c r="O93" s="289"/>
      <c r="P93" s="289"/>
      <c r="Q93" s="620"/>
      <c r="R93" s="621"/>
    </row>
    <row r="94" spans="1:18" ht="39" customHeight="1">
      <c r="A94" s="315" t="s">
        <v>767</v>
      </c>
      <c r="B94" s="243"/>
      <c r="C94" s="243"/>
      <c r="D94" s="187"/>
      <c r="E94" s="187"/>
      <c r="F94" s="187"/>
      <c r="G94" s="243"/>
      <c r="H94" s="243"/>
      <c r="I94" s="243"/>
      <c r="J94" s="243"/>
      <c r="K94" s="316"/>
      <c r="L94" s="317"/>
      <c r="M94" s="243"/>
      <c r="N94" s="243"/>
      <c r="O94" s="243"/>
      <c r="P94" s="185"/>
      <c r="Q94" s="605" t="s">
        <v>362</v>
      </c>
      <c r="R94" s="605" t="s">
        <v>363</v>
      </c>
    </row>
    <row r="95" spans="1:18" ht="93.75" customHeight="1">
      <c r="A95" s="189" t="s">
        <v>640</v>
      </c>
      <c r="B95" s="308" t="s">
        <v>639</v>
      </c>
      <c r="C95" s="308" t="s">
        <v>638</v>
      </c>
      <c r="D95" s="309" t="s">
        <v>637</v>
      </c>
      <c r="E95" s="309" t="s">
        <v>636</v>
      </c>
      <c r="F95" s="309" t="s">
        <v>505</v>
      </c>
      <c r="G95" s="186" t="s">
        <v>635</v>
      </c>
      <c r="H95" s="186" t="s">
        <v>630</v>
      </c>
      <c r="I95" s="186" t="s">
        <v>634</v>
      </c>
      <c r="J95" s="186" t="s">
        <v>633</v>
      </c>
      <c r="K95" s="186" t="s">
        <v>632</v>
      </c>
      <c r="L95" s="186" t="s">
        <v>631</v>
      </c>
      <c r="M95" s="309" t="s">
        <v>508</v>
      </c>
      <c r="N95" s="309" t="s">
        <v>507</v>
      </c>
      <c r="O95" s="309" t="s">
        <v>506</v>
      </c>
      <c r="P95" s="186" t="s">
        <v>630</v>
      </c>
      <c r="Q95" s="606"/>
      <c r="R95" s="606"/>
    </row>
    <row r="96" spans="1:18" ht="35.25" customHeight="1">
      <c r="A96" s="290"/>
      <c r="B96" s="300"/>
      <c r="C96" s="301" t="s">
        <v>368</v>
      </c>
      <c r="D96" s="301" t="s">
        <v>367</v>
      </c>
      <c r="E96" s="301" t="s">
        <v>627</v>
      </c>
      <c r="F96" s="301" t="s">
        <v>627</v>
      </c>
      <c r="G96" s="301" t="s">
        <v>628</v>
      </c>
      <c r="H96" s="301" t="s">
        <v>628</v>
      </c>
      <c r="I96" s="301" t="s">
        <v>628</v>
      </c>
      <c r="J96" s="301" t="s">
        <v>628</v>
      </c>
      <c r="K96" s="301" t="s">
        <v>628</v>
      </c>
      <c r="L96" s="301" t="s">
        <v>629</v>
      </c>
      <c r="M96" s="301" t="s">
        <v>628</v>
      </c>
      <c r="N96" s="301" t="s">
        <v>628</v>
      </c>
      <c r="O96" s="301" t="s">
        <v>627</v>
      </c>
      <c r="P96" s="301" t="s">
        <v>627</v>
      </c>
      <c r="Q96" s="283"/>
      <c r="R96" s="283"/>
    </row>
    <row r="97" spans="1:18" ht="20.25">
      <c r="A97" s="279" t="s">
        <v>626</v>
      </c>
      <c r="B97" s="275">
        <v>100</v>
      </c>
      <c r="C97" s="275"/>
      <c r="D97" s="293">
        <v>662.54</v>
      </c>
      <c r="E97" s="300"/>
      <c r="F97" s="300">
        <f>O97-P97</f>
        <v>0</v>
      </c>
      <c r="G97" s="300"/>
      <c r="H97" s="293">
        <v>131.93</v>
      </c>
      <c r="I97" s="293"/>
      <c r="J97" s="293"/>
      <c r="K97" s="293">
        <f aca="true" t="shared" si="35" ref="K97:K105">SUM(G97:J97)</f>
        <v>131.93</v>
      </c>
      <c r="L97" s="293">
        <f>K97*D97/1000</f>
        <v>87.4089022</v>
      </c>
      <c r="M97" s="293">
        <v>0</v>
      </c>
      <c r="N97" s="293">
        <f aca="true" t="shared" si="36" ref="N97:N136">K97+M97</f>
        <v>131.93</v>
      </c>
      <c r="O97" s="293">
        <f>N97*D97/1000</f>
        <v>87.4089022</v>
      </c>
      <c r="P97" s="293">
        <f aca="true" t="shared" si="37" ref="P97:P113">D97*H97/1000</f>
        <v>87.4089022</v>
      </c>
      <c r="Q97" s="283">
        <f aca="true" t="shared" si="38" ref="Q97:Q120">F97/O97</f>
        <v>0</v>
      </c>
      <c r="R97" s="283">
        <f aca="true" t="shared" si="39" ref="R97:R107">P97/L97</f>
        <v>1</v>
      </c>
    </row>
    <row r="98" spans="1:18" ht="20.25">
      <c r="A98" s="279" t="s">
        <v>440</v>
      </c>
      <c r="B98" s="275">
        <v>100</v>
      </c>
      <c r="C98" s="275"/>
      <c r="D98" s="293">
        <v>297</v>
      </c>
      <c r="E98" s="293"/>
      <c r="F98" s="300">
        <f>O98-P98</f>
        <v>0</v>
      </c>
      <c r="G98" s="293"/>
      <c r="H98" s="293">
        <v>79.8</v>
      </c>
      <c r="I98" s="293"/>
      <c r="J98" s="293"/>
      <c r="K98" s="293">
        <f t="shared" si="35"/>
        <v>79.8</v>
      </c>
      <c r="L98" s="293">
        <f>K98*D98/1000</f>
        <v>23.700599999999998</v>
      </c>
      <c r="M98" s="293">
        <v>0</v>
      </c>
      <c r="N98" s="295">
        <f t="shared" si="36"/>
        <v>79.8</v>
      </c>
      <c r="O98" s="295">
        <f>N98*D98/1000</f>
        <v>23.700599999999998</v>
      </c>
      <c r="P98" s="282">
        <f t="shared" si="37"/>
        <v>23.700599999999998</v>
      </c>
      <c r="Q98" s="283">
        <f t="shared" si="38"/>
        <v>0</v>
      </c>
      <c r="R98" s="283">
        <f t="shared" si="39"/>
        <v>1</v>
      </c>
    </row>
    <row r="99" spans="1:18" ht="20.25">
      <c r="A99" s="294" t="s">
        <v>385</v>
      </c>
      <c r="B99" s="275">
        <v>100</v>
      </c>
      <c r="C99" s="275"/>
      <c r="D99" s="293">
        <v>693</v>
      </c>
      <c r="E99" s="293"/>
      <c r="F99" s="300">
        <f>O99-P99</f>
        <v>0</v>
      </c>
      <c r="G99" s="293"/>
      <c r="H99" s="293">
        <v>82.48</v>
      </c>
      <c r="I99" s="293"/>
      <c r="J99" s="293"/>
      <c r="K99" s="293">
        <f t="shared" si="35"/>
        <v>82.48</v>
      </c>
      <c r="L99" s="293">
        <f>K99*D99/1000</f>
        <v>57.15864</v>
      </c>
      <c r="M99" s="293">
        <v>0</v>
      </c>
      <c r="N99" s="295">
        <f t="shared" si="36"/>
        <v>82.48</v>
      </c>
      <c r="O99" s="295">
        <f>N99*D99/1000</f>
        <v>57.15864</v>
      </c>
      <c r="P99" s="282">
        <f t="shared" si="37"/>
        <v>57.15864</v>
      </c>
      <c r="Q99" s="283">
        <f t="shared" si="38"/>
        <v>0</v>
      </c>
      <c r="R99" s="283">
        <f t="shared" si="39"/>
        <v>1</v>
      </c>
    </row>
    <row r="100" spans="1:18" ht="20.25">
      <c r="A100" s="294" t="s">
        <v>384</v>
      </c>
      <c r="B100" s="275">
        <v>100</v>
      </c>
      <c r="C100" s="275"/>
      <c r="D100" s="293">
        <v>1172.16</v>
      </c>
      <c r="E100" s="293"/>
      <c r="F100" s="300">
        <f>O100-P100</f>
        <v>0</v>
      </c>
      <c r="G100" s="293"/>
      <c r="H100" s="293">
        <v>89.61</v>
      </c>
      <c r="I100" s="293"/>
      <c r="J100" s="293"/>
      <c r="K100" s="293">
        <f t="shared" si="35"/>
        <v>89.61</v>
      </c>
      <c r="L100" s="293">
        <f>K100*D100/1000</f>
        <v>105.03725760000002</v>
      </c>
      <c r="M100" s="293">
        <v>0</v>
      </c>
      <c r="N100" s="295">
        <f t="shared" si="36"/>
        <v>89.61</v>
      </c>
      <c r="O100" s="295">
        <f>N100*D100/1000</f>
        <v>105.03725760000002</v>
      </c>
      <c r="P100" s="282">
        <f t="shared" si="37"/>
        <v>105.03725760000002</v>
      </c>
      <c r="Q100" s="283">
        <f t="shared" si="38"/>
        <v>0</v>
      </c>
      <c r="R100" s="283">
        <f t="shared" si="39"/>
        <v>1</v>
      </c>
    </row>
    <row r="101" spans="1:18" ht="20.25">
      <c r="A101" s="279" t="s">
        <v>625</v>
      </c>
      <c r="B101" s="275">
        <v>100</v>
      </c>
      <c r="C101" s="275"/>
      <c r="D101" s="293">
        <v>825.66</v>
      </c>
      <c r="E101" s="293"/>
      <c r="F101" s="300">
        <f>O101-P101</f>
        <v>0</v>
      </c>
      <c r="G101" s="293"/>
      <c r="H101" s="293">
        <v>51.15</v>
      </c>
      <c r="I101" s="293"/>
      <c r="J101" s="293"/>
      <c r="K101" s="293">
        <f t="shared" si="35"/>
        <v>51.15</v>
      </c>
      <c r="L101" s="293">
        <f>K101*D101/1000</f>
        <v>42.232509</v>
      </c>
      <c r="M101" s="293">
        <v>0</v>
      </c>
      <c r="N101" s="295">
        <f t="shared" si="36"/>
        <v>51.15</v>
      </c>
      <c r="O101" s="295">
        <f>N101*D101/1000</f>
        <v>42.232509</v>
      </c>
      <c r="P101" s="282">
        <f t="shared" si="37"/>
        <v>42.232509</v>
      </c>
      <c r="Q101" s="283">
        <f t="shared" si="38"/>
        <v>0</v>
      </c>
      <c r="R101" s="283">
        <f t="shared" si="39"/>
        <v>1</v>
      </c>
    </row>
    <row r="102" spans="1:18" ht="20.25">
      <c r="A102" s="279" t="s">
        <v>396</v>
      </c>
      <c r="B102" s="275"/>
      <c r="C102" s="275"/>
      <c r="D102" s="297">
        <f>SUM(D97:D101)</f>
        <v>3650.3599999999997</v>
      </c>
      <c r="E102" s="296"/>
      <c r="F102" s="302"/>
      <c r="G102" s="293"/>
      <c r="H102" s="296"/>
      <c r="I102" s="293"/>
      <c r="J102" s="293"/>
      <c r="K102" s="293">
        <f t="shared" si="35"/>
        <v>0</v>
      </c>
      <c r="L102" s="297">
        <f>SUM(L97:L101)</f>
        <v>315.5379088</v>
      </c>
      <c r="M102" s="297">
        <v>0</v>
      </c>
      <c r="N102" s="303">
        <f t="shared" si="36"/>
        <v>0</v>
      </c>
      <c r="O102" s="297">
        <f>SUM(O97:O101)</f>
        <v>315.5379088</v>
      </c>
      <c r="P102" s="282">
        <f t="shared" si="37"/>
        <v>0</v>
      </c>
      <c r="Q102" s="283">
        <f t="shared" si="38"/>
        <v>0</v>
      </c>
      <c r="R102" s="283">
        <f t="shared" si="39"/>
        <v>0</v>
      </c>
    </row>
    <row r="103" spans="1:20" ht="21" thickBot="1">
      <c r="A103" s="279" t="s">
        <v>624</v>
      </c>
      <c r="B103" s="275">
        <v>100</v>
      </c>
      <c r="C103" s="275"/>
      <c r="D103" s="293">
        <v>2026.53</v>
      </c>
      <c r="E103" s="293"/>
      <c r="F103" s="302">
        <f>O103-P103</f>
        <v>0</v>
      </c>
      <c r="G103" s="293"/>
      <c r="H103" s="293">
        <v>78.43</v>
      </c>
      <c r="I103" s="293"/>
      <c r="J103" s="293"/>
      <c r="K103" s="293">
        <f t="shared" si="35"/>
        <v>78.43</v>
      </c>
      <c r="L103" s="293">
        <f>K103*D103/1000</f>
        <v>158.94074790000002</v>
      </c>
      <c r="M103" s="293">
        <v>0</v>
      </c>
      <c r="N103" s="295">
        <f t="shared" si="36"/>
        <v>78.43</v>
      </c>
      <c r="O103" s="295">
        <f>N103*D103/1000</f>
        <v>158.94074790000002</v>
      </c>
      <c r="P103" s="282">
        <f t="shared" si="37"/>
        <v>158.94074790000002</v>
      </c>
      <c r="Q103" s="283">
        <f t="shared" si="38"/>
        <v>0</v>
      </c>
      <c r="R103" s="283">
        <f t="shared" si="39"/>
        <v>1</v>
      </c>
      <c r="T103" s="359">
        <v>122.67</v>
      </c>
    </row>
    <row r="104" spans="1:20" ht="21" thickBot="1">
      <c r="A104" s="279" t="s">
        <v>623</v>
      </c>
      <c r="B104" s="275">
        <v>100</v>
      </c>
      <c r="C104" s="275"/>
      <c r="D104" s="293">
        <f>'[1]ARR13-14TRT-21(PY,CY&amp;EY)'!C218</f>
        <v>262.5</v>
      </c>
      <c r="E104" s="293"/>
      <c r="F104" s="302">
        <f>O104-P104</f>
        <v>0</v>
      </c>
      <c r="G104" s="293"/>
      <c r="H104" s="293">
        <v>33.86</v>
      </c>
      <c r="I104" s="293"/>
      <c r="J104" s="293"/>
      <c r="K104" s="293">
        <f t="shared" si="35"/>
        <v>33.86</v>
      </c>
      <c r="L104" s="293">
        <f>K104*D104/1000</f>
        <v>8.88825</v>
      </c>
      <c r="M104" s="293">
        <v>0</v>
      </c>
      <c r="N104" s="295">
        <f t="shared" si="36"/>
        <v>33.86</v>
      </c>
      <c r="O104" s="295">
        <f>N104*D104/1000</f>
        <v>8.88825</v>
      </c>
      <c r="P104" s="282">
        <f t="shared" si="37"/>
        <v>8.88825</v>
      </c>
      <c r="Q104" s="283">
        <f t="shared" si="38"/>
        <v>0</v>
      </c>
      <c r="R104" s="283">
        <f t="shared" si="39"/>
        <v>1</v>
      </c>
      <c r="T104" s="359">
        <v>46.05</v>
      </c>
    </row>
    <row r="105" spans="1:20" ht="21" thickBot="1">
      <c r="A105" s="279" t="s">
        <v>396</v>
      </c>
      <c r="B105" s="275"/>
      <c r="C105" s="275"/>
      <c r="D105" s="297">
        <f>SUM(D102:D104)</f>
        <v>5939.389999999999</v>
      </c>
      <c r="E105" s="296"/>
      <c r="F105" s="302"/>
      <c r="G105" s="293"/>
      <c r="H105" s="293"/>
      <c r="I105" s="293"/>
      <c r="J105" s="293"/>
      <c r="K105" s="293">
        <f t="shared" si="35"/>
        <v>0</v>
      </c>
      <c r="L105" s="297">
        <f>SUM(L102:L104)</f>
        <v>483.3669067000001</v>
      </c>
      <c r="M105" s="297">
        <v>0</v>
      </c>
      <c r="N105" s="303">
        <f t="shared" si="36"/>
        <v>0</v>
      </c>
      <c r="O105" s="297">
        <f>SUM(O102:O104)</f>
        <v>483.3669067000001</v>
      </c>
      <c r="P105" s="282">
        <f t="shared" si="37"/>
        <v>0</v>
      </c>
      <c r="Q105" s="283">
        <f t="shared" si="38"/>
        <v>0</v>
      </c>
      <c r="R105" s="283">
        <f t="shared" si="39"/>
        <v>0</v>
      </c>
      <c r="T105" s="359">
        <v>92.53</v>
      </c>
    </row>
    <row r="106" spans="1:20" ht="21" thickBot="1">
      <c r="A106" s="279" t="s">
        <v>450</v>
      </c>
      <c r="B106" s="275">
        <v>100</v>
      </c>
      <c r="C106" s="275"/>
      <c r="D106" s="293">
        <v>2838.35</v>
      </c>
      <c r="E106" s="293"/>
      <c r="F106" s="302"/>
      <c r="G106" s="293"/>
      <c r="H106" s="293"/>
      <c r="I106" s="293"/>
      <c r="J106" s="293"/>
      <c r="K106" s="293">
        <v>210.84</v>
      </c>
      <c r="L106" s="293">
        <f aca="true" t="shared" si="40" ref="L106:L113">K106*D106/1000</f>
        <v>598.437714</v>
      </c>
      <c r="M106" s="293">
        <v>0</v>
      </c>
      <c r="N106" s="295">
        <f t="shared" si="36"/>
        <v>210.84</v>
      </c>
      <c r="O106" s="295">
        <f aca="true" t="shared" si="41" ref="O106:O113">N106*D106/1000</f>
        <v>598.437714</v>
      </c>
      <c r="P106" s="282">
        <f t="shared" si="37"/>
        <v>0</v>
      </c>
      <c r="Q106" s="283">
        <f t="shared" si="38"/>
        <v>0</v>
      </c>
      <c r="R106" s="283">
        <f t="shared" si="39"/>
        <v>0</v>
      </c>
      <c r="T106" s="359">
        <v>6.94</v>
      </c>
    </row>
    <row r="107" spans="1:20" ht="21" thickBot="1">
      <c r="A107" s="279" t="s">
        <v>386</v>
      </c>
      <c r="B107" s="275">
        <v>100</v>
      </c>
      <c r="C107" s="275"/>
      <c r="D107" s="293">
        <v>3177.25</v>
      </c>
      <c r="E107" s="293"/>
      <c r="F107" s="302"/>
      <c r="G107" s="293"/>
      <c r="H107" s="293"/>
      <c r="I107" s="293"/>
      <c r="J107" s="293"/>
      <c r="K107" s="293">
        <v>290.07</v>
      </c>
      <c r="L107" s="293">
        <f t="shared" si="40"/>
        <v>921.6249075</v>
      </c>
      <c r="M107" s="293">
        <v>0</v>
      </c>
      <c r="N107" s="295">
        <f t="shared" si="36"/>
        <v>290.07</v>
      </c>
      <c r="O107" s="295">
        <f t="shared" si="41"/>
        <v>921.6249075</v>
      </c>
      <c r="P107" s="282">
        <f t="shared" si="37"/>
        <v>0</v>
      </c>
      <c r="Q107" s="283">
        <f t="shared" si="38"/>
        <v>0</v>
      </c>
      <c r="R107" s="283">
        <f t="shared" si="39"/>
        <v>0</v>
      </c>
      <c r="T107" s="360">
        <v>268.19</v>
      </c>
    </row>
    <row r="108" spans="1:18" ht="20.25">
      <c r="A108" s="278"/>
      <c r="B108" s="275"/>
      <c r="C108" s="275"/>
      <c r="D108" s="278"/>
      <c r="E108" s="278"/>
      <c r="F108" s="302">
        <f aca="true" t="shared" si="42" ref="F108:F113">O108-P108</f>
        <v>0</v>
      </c>
      <c r="G108" s="278"/>
      <c r="H108" s="278"/>
      <c r="I108" s="278"/>
      <c r="J108" s="278"/>
      <c r="K108" s="293">
        <f>SUM(G108:J108)</f>
        <v>0</v>
      </c>
      <c r="L108" s="293">
        <f t="shared" si="40"/>
        <v>0</v>
      </c>
      <c r="M108" s="293">
        <v>0</v>
      </c>
      <c r="N108" s="295">
        <f t="shared" si="36"/>
        <v>0</v>
      </c>
      <c r="O108" s="295">
        <f t="shared" si="41"/>
        <v>0</v>
      </c>
      <c r="P108" s="282">
        <f t="shared" si="37"/>
        <v>0</v>
      </c>
      <c r="Q108" s="283" t="e">
        <f t="shared" si="38"/>
        <v>#DIV/0!</v>
      </c>
      <c r="R108" s="283">
        <v>0</v>
      </c>
    </row>
    <row r="109" spans="1:18" ht="20.25">
      <c r="A109" s="304" t="s">
        <v>622</v>
      </c>
      <c r="B109" s="275"/>
      <c r="C109" s="275"/>
      <c r="D109" s="278"/>
      <c r="E109" s="278"/>
      <c r="F109" s="302">
        <f t="shared" si="42"/>
        <v>0</v>
      </c>
      <c r="G109" s="278"/>
      <c r="H109" s="278"/>
      <c r="I109" s="278"/>
      <c r="J109" s="278"/>
      <c r="K109" s="293">
        <f>SUM(G109:J109)</f>
        <v>0</v>
      </c>
      <c r="L109" s="293">
        <f t="shared" si="40"/>
        <v>0</v>
      </c>
      <c r="M109" s="293">
        <v>0</v>
      </c>
      <c r="N109" s="295">
        <f t="shared" si="36"/>
        <v>0</v>
      </c>
      <c r="O109" s="295">
        <f t="shared" si="41"/>
        <v>0</v>
      </c>
      <c r="P109" s="282">
        <f t="shared" si="37"/>
        <v>0</v>
      </c>
      <c r="Q109" s="283" t="e">
        <f t="shared" si="38"/>
        <v>#DIV/0!</v>
      </c>
      <c r="R109" s="283" t="e">
        <f aca="true" t="shared" si="43" ref="R109:R120">P109/L109</f>
        <v>#DIV/0!</v>
      </c>
    </row>
    <row r="110" spans="1:18" ht="20.25">
      <c r="A110" s="285" t="s">
        <v>621</v>
      </c>
      <c r="B110" s="275">
        <v>100</v>
      </c>
      <c r="C110" s="275"/>
      <c r="D110" s="293">
        <v>210</v>
      </c>
      <c r="E110" s="293"/>
      <c r="F110" s="300">
        <f t="shared" si="42"/>
        <v>0</v>
      </c>
      <c r="G110" s="278"/>
      <c r="H110" s="293">
        <f>'[1]ARR13-14TRT-21(PY,CY&amp;EY)'!E223</f>
        <v>368</v>
      </c>
      <c r="I110" s="278"/>
      <c r="J110" s="278"/>
      <c r="K110" s="293">
        <f>SUM(G110:J110)</f>
        <v>368</v>
      </c>
      <c r="L110" s="293">
        <f t="shared" si="40"/>
        <v>77.28</v>
      </c>
      <c r="M110" s="293">
        <v>0</v>
      </c>
      <c r="N110" s="295">
        <f t="shared" si="36"/>
        <v>368</v>
      </c>
      <c r="O110" s="295">
        <f t="shared" si="41"/>
        <v>77.28</v>
      </c>
      <c r="P110" s="282">
        <f t="shared" si="37"/>
        <v>77.28</v>
      </c>
      <c r="Q110" s="283">
        <f t="shared" si="38"/>
        <v>0</v>
      </c>
      <c r="R110" s="283">
        <f t="shared" si="43"/>
        <v>1</v>
      </c>
    </row>
    <row r="111" spans="1:18" ht="20.25">
      <c r="A111" s="285" t="s">
        <v>620</v>
      </c>
      <c r="B111" s="275">
        <v>100</v>
      </c>
      <c r="C111" s="275"/>
      <c r="D111" s="293">
        <v>110</v>
      </c>
      <c r="E111" s="293"/>
      <c r="F111" s="300">
        <f t="shared" si="42"/>
        <v>0</v>
      </c>
      <c r="G111" s="278"/>
      <c r="H111" s="293">
        <f>'[1]ARR13-14TRT-21(PY,CY&amp;EY)'!E224</f>
        <v>368</v>
      </c>
      <c r="I111" s="278"/>
      <c r="J111" s="278"/>
      <c r="K111" s="293">
        <f>SUM(G111:J111)</f>
        <v>368</v>
      </c>
      <c r="L111" s="293">
        <f t="shared" si="40"/>
        <v>40.48</v>
      </c>
      <c r="M111" s="293">
        <v>0</v>
      </c>
      <c r="N111" s="295">
        <f t="shared" si="36"/>
        <v>368</v>
      </c>
      <c r="O111" s="295">
        <f t="shared" si="41"/>
        <v>40.48</v>
      </c>
      <c r="P111" s="282">
        <f t="shared" si="37"/>
        <v>40.48</v>
      </c>
      <c r="Q111" s="283">
        <f t="shared" si="38"/>
        <v>0</v>
      </c>
      <c r="R111" s="283">
        <f t="shared" si="43"/>
        <v>1</v>
      </c>
    </row>
    <row r="112" spans="1:18" ht="20.25">
      <c r="A112" s="285" t="s">
        <v>509</v>
      </c>
      <c r="B112" s="275">
        <v>100</v>
      </c>
      <c r="C112" s="275"/>
      <c r="D112" s="293">
        <v>127</v>
      </c>
      <c r="E112" s="293"/>
      <c r="F112" s="300">
        <f t="shared" si="42"/>
        <v>0</v>
      </c>
      <c r="G112" s="278"/>
      <c r="H112" s="293">
        <v>804.25</v>
      </c>
      <c r="I112" s="278"/>
      <c r="J112" s="278"/>
      <c r="K112" s="293">
        <f>H112</f>
        <v>804.25</v>
      </c>
      <c r="L112" s="293">
        <f t="shared" si="40"/>
        <v>102.13975</v>
      </c>
      <c r="M112" s="293">
        <v>0</v>
      </c>
      <c r="N112" s="295">
        <f t="shared" si="36"/>
        <v>804.25</v>
      </c>
      <c r="O112" s="295">
        <f t="shared" si="41"/>
        <v>102.13975</v>
      </c>
      <c r="P112" s="282">
        <f t="shared" si="37"/>
        <v>102.13975</v>
      </c>
      <c r="Q112" s="283">
        <f t="shared" si="38"/>
        <v>0</v>
      </c>
      <c r="R112" s="283">
        <f t="shared" si="43"/>
        <v>1</v>
      </c>
    </row>
    <row r="113" spans="1:18" ht="20.25">
      <c r="A113" s="285" t="s">
        <v>619</v>
      </c>
      <c r="B113" s="275">
        <v>100</v>
      </c>
      <c r="C113" s="275"/>
      <c r="D113" s="293">
        <v>160</v>
      </c>
      <c r="E113" s="293"/>
      <c r="F113" s="300">
        <f t="shared" si="42"/>
        <v>0</v>
      </c>
      <c r="G113" s="278"/>
      <c r="H113" s="293">
        <v>544.75</v>
      </c>
      <c r="I113" s="278"/>
      <c r="J113" s="278"/>
      <c r="K113" s="293">
        <f aca="true" t="shared" si="44" ref="K113:K134">SUM(G113:J113)</f>
        <v>544.75</v>
      </c>
      <c r="L113" s="293">
        <f t="shared" si="40"/>
        <v>87.16</v>
      </c>
      <c r="M113" s="293">
        <v>0</v>
      </c>
      <c r="N113" s="295">
        <f t="shared" si="36"/>
        <v>544.75</v>
      </c>
      <c r="O113" s="295">
        <f t="shared" si="41"/>
        <v>87.16</v>
      </c>
      <c r="P113" s="282">
        <f t="shared" si="37"/>
        <v>87.16</v>
      </c>
      <c r="Q113" s="283">
        <f t="shared" si="38"/>
        <v>0</v>
      </c>
      <c r="R113" s="283">
        <f t="shared" si="43"/>
        <v>1</v>
      </c>
    </row>
    <row r="114" spans="1:18" ht="20.25">
      <c r="A114" s="285" t="s">
        <v>396</v>
      </c>
      <c r="B114" s="275"/>
      <c r="C114" s="275"/>
      <c r="D114" s="297">
        <f>SUM(D110:D113)</f>
        <v>607</v>
      </c>
      <c r="E114" s="296"/>
      <c r="F114" s="305">
        <f>SUM(F110:F113)</f>
        <v>0</v>
      </c>
      <c r="G114" s="278"/>
      <c r="I114" s="278"/>
      <c r="J114" s="278"/>
      <c r="K114" s="293">
        <f t="shared" si="44"/>
        <v>0</v>
      </c>
      <c r="L114" s="297">
        <f>SUM(L110:L113)</f>
        <v>307.05975</v>
      </c>
      <c r="M114" s="297">
        <v>0</v>
      </c>
      <c r="N114" s="303">
        <f t="shared" si="36"/>
        <v>0</v>
      </c>
      <c r="O114" s="297">
        <f>SUM(O110:O113)</f>
        <v>307.05975</v>
      </c>
      <c r="P114" s="282">
        <f>D115*H115/1000</f>
        <v>336.77049999999997</v>
      </c>
      <c r="Q114" s="283">
        <f t="shared" si="38"/>
        <v>0</v>
      </c>
      <c r="R114" s="283">
        <f t="shared" si="43"/>
        <v>1.0967588555647556</v>
      </c>
    </row>
    <row r="115" spans="1:18" ht="20.25">
      <c r="A115" s="285" t="s">
        <v>618</v>
      </c>
      <c r="B115" s="275"/>
      <c r="C115" s="275"/>
      <c r="D115" s="293">
        <v>1224.62</v>
      </c>
      <c r="E115" s="293"/>
      <c r="F115" s="300"/>
      <c r="G115" s="278"/>
      <c r="H115" s="293">
        <v>275</v>
      </c>
      <c r="I115" s="278"/>
      <c r="J115" s="278"/>
      <c r="K115" s="293">
        <f t="shared" si="44"/>
        <v>275</v>
      </c>
      <c r="L115" s="293">
        <f>K115*D115/1000</f>
        <v>336.77049999999997</v>
      </c>
      <c r="M115" s="293">
        <v>0</v>
      </c>
      <c r="N115" s="295">
        <f t="shared" si="36"/>
        <v>275</v>
      </c>
      <c r="O115" s="295">
        <f>N115*D115/1000</f>
        <v>336.77049999999997</v>
      </c>
      <c r="P115" s="282">
        <f>D116*H116/1000</f>
        <v>0</v>
      </c>
      <c r="Q115" s="283">
        <f t="shared" si="38"/>
        <v>0</v>
      </c>
      <c r="R115" s="283">
        <f t="shared" si="43"/>
        <v>0</v>
      </c>
    </row>
    <row r="116" spans="1:18" ht="20.25">
      <c r="A116" s="285" t="s">
        <v>617</v>
      </c>
      <c r="B116" s="275"/>
      <c r="C116" s="275"/>
      <c r="D116" s="293">
        <v>0</v>
      </c>
      <c r="E116" s="293"/>
      <c r="F116" s="300">
        <f>O116-P116</f>
        <v>0</v>
      </c>
      <c r="G116" s="278"/>
      <c r="H116" s="293">
        <v>275</v>
      </c>
      <c r="I116" s="278"/>
      <c r="J116" s="278"/>
      <c r="K116" s="293">
        <f t="shared" si="44"/>
        <v>275</v>
      </c>
      <c r="L116" s="293">
        <f>K116*D116/1000</f>
        <v>0</v>
      </c>
      <c r="M116" s="293">
        <v>0</v>
      </c>
      <c r="N116" s="295">
        <f t="shared" si="36"/>
        <v>275</v>
      </c>
      <c r="O116" s="295">
        <f>N116*D116/1000</f>
        <v>0</v>
      </c>
      <c r="P116" s="282">
        <f aca="true" t="shared" si="45" ref="P116:P124">D116*H116/1000</f>
        <v>0</v>
      </c>
      <c r="Q116" s="283" t="e">
        <f t="shared" si="38"/>
        <v>#DIV/0!</v>
      </c>
      <c r="R116" s="283" t="e">
        <f t="shared" si="43"/>
        <v>#DIV/0!</v>
      </c>
    </row>
    <row r="117" spans="1:18" ht="20.25">
      <c r="A117" s="279" t="s">
        <v>396</v>
      </c>
      <c r="B117" s="275"/>
      <c r="C117" s="275"/>
      <c r="D117" s="297">
        <f>SUM(D115:D116)</f>
        <v>1224.62</v>
      </c>
      <c r="E117" s="296"/>
      <c r="F117" s="302">
        <f>O117-P117</f>
        <v>336.77049999999997</v>
      </c>
      <c r="G117" s="293"/>
      <c r="H117" s="293"/>
      <c r="I117" s="293"/>
      <c r="J117" s="293"/>
      <c r="K117" s="293">
        <f t="shared" si="44"/>
        <v>0</v>
      </c>
      <c r="L117" s="297">
        <f>SUM(L115:L116)</f>
        <v>336.77049999999997</v>
      </c>
      <c r="M117" s="297">
        <v>0</v>
      </c>
      <c r="N117" s="303">
        <f t="shared" si="36"/>
        <v>0</v>
      </c>
      <c r="O117" s="297">
        <f>SUM(O115:O116)</f>
        <v>336.77049999999997</v>
      </c>
      <c r="P117" s="282">
        <f t="shared" si="45"/>
        <v>0</v>
      </c>
      <c r="Q117" s="283">
        <f t="shared" si="38"/>
        <v>1</v>
      </c>
      <c r="R117" s="283">
        <f t="shared" si="43"/>
        <v>0</v>
      </c>
    </row>
    <row r="118" spans="1:18" ht="20.25">
      <c r="A118" s="279" t="s">
        <v>20</v>
      </c>
      <c r="B118" s="275"/>
      <c r="C118" s="275"/>
      <c r="D118" s="293"/>
      <c r="E118" s="293"/>
      <c r="F118" s="302">
        <f>O118-P118</f>
        <v>0</v>
      </c>
      <c r="G118" s="293"/>
      <c r="H118" s="293"/>
      <c r="I118" s="293"/>
      <c r="J118" s="293"/>
      <c r="K118" s="293">
        <f t="shared" si="44"/>
        <v>0</v>
      </c>
      <c r="L118" s="297"/>
      <c r="M118" s="297">
        <v>0</v>
      </c>
      <c r="N118" s="303">
        <f t="shared" si="36"/>
        <v>0</v>
      </c>
      <c r="O118" s="303">
        <f>N118*D118/1000</f>
        <v>0</v>
      </c>
      <c r="P118" s="282">
        <f t="shared" si="45"/>
        <v>0</v>
      </c>
      <c r="Q118" s="283" t="e">
        <f t="shared" si="38"/>
        <v>#DIV/0!</v>
      </c>
      <c r="R118" s="283" t="e">
        <f t="shared" si="43"/>
        <v>#DIV/0!</v>
      </c>
    </row>
    <row r="119" spans="1:18" ht="20.25">
      <c r="A119" s="279" t="s">
        <v>616</v>
      </c>
      <c r="B119" s="275">
        <v>100</v>
      </c>
      <c r="C119" s="275"/>
      <c r="D119" s="293">
        <v>4199</v>
      </c>
      <c r="E119" s="293"/>
      <c r="F119" s="302">
        <f>O119-P119</f>
        <v>0</v>
      </c>
      <c r="G119" s="293"/>
      <c r="H119" s="293">
        <v>210.56</v>
      </c>
      <c r="I119" s="293"/>
      <c r="J119" s="293"/>
      <c r="K119" s="293">
        <f t="shared" si="44"/>
        <v>210.56</v>
      </c>
      <c r="L119" s="293">
        <f>K119*D119/1000</f>
        <v>884.1414400000001</v>
      </c>
      <c r="M119" s="293">
        <v>0</v>
      </c>
      <c r="N119" s="295">
        <f t="shared" si="36"/>
        <v>210.56</v>
      </c>
      <c r="O119" s="295">
        <f>N119*D119/1000</f>
        <v>884.1414400000001</v>
      </c>
      <c r="P119" s="282">
        <f t="shared" si="45"/>
        <v>884.1414400000001</v>
      </c>
      <c r="Q119" s="283">
        <f t="shared" si="38"/>
        <v>0</v>
      </c>
      <c r="R119" s="283">
        <f t="shared" si="43"/>
        <v>1</v>
      </c>
    </row>
    <row r="120" spans="1:18" ht="20.25">
      <c r="A120" s="304" t="s">
        <v>615</v>
      </c>
      <c r="B120" s="275">
        <v>100</v>
      </c>
      <c r="C120" s="275"/>
      <c r="D120" s="293">
        <v>1798</v>
      </c>
      <c r="E120" s="293"/>
      <c r="F120" s="302">
        <f>O120-P120</f>
        <v>0</v>
      </c>
      <c r="G120" s="293"/>
      <c r="H120" s="293">
        <v>275</v>
      </c>
      <c r="I120" s="293"/>
      <c r="J120" s="293"/>
      <c r="K120" s="293">
        <f t="shared" si="44"/>
        <v>275</v>
      </c>
      <c r="L120" s="293">
        <f>K120*D120/1000</f>
        <v>494.45</v>
      </c>
      <c r="M120" s="293">
        <v>0</v>
      </c>
      <c r="N120" s="295">
        <f t="shared" si="36"/>
        <v>275</v>
      </c>
      <c r="O120" s="295">
        <f>N120*D120/1000</f>
        <v>494.45</v>
      </c>
      <c r="P120" s="282">
        <f t="shared" si="45"/>
        <v>494.45</v>
      </c>
      <c r="Q120" s="283">
        <f t="shared" si="38"/>
        <v>0</v>
      </c>
      <c r="R120" s="283">
        <f t="shared" si="43"/>
        <v>1</v>
      </c>
    </row>
    <row r="121" spans="1:18" ht="20.25">
      <c r="A121" s="304" t="s">
        <v>776</v>
      </c>
      <c r="B121" s="275">
        <v>100</v>
      </c>
      <c r="C121" s="275"/>
      <c r="D121" s="293">
        <v>54</v>
      </c>
      <c r="E121" s="293"/>
      <c r="F121" s="302"/>
      <c r="G121" s="293"/>
      <c r="H121" s="293">
        <v>125</v>
      </c>
      <c r="I121" s="293"/>
      <c r="J121" s="293"/>
      <c r="K121" s="293">
        <f t="shared" si="44"/>
        <v>125</v>
      </c>
      <c r="L121" s="293">
        <f>K121*D121/1000</f>
        <v>6.75</v>
      </c>
      <c r="M121" s="293"/>
      <c r="N121" s="295">
        <f t="shared" si="36"/>
        <v>125</v>
      </c>
      <c r="O121" s="295">
        <f>N121*D121/1000</f>
        <v>6.75</v>
      </c>
      <c r="P121" s="282">
        <f t="shared" si="45"/>
        <v>6.75</v>
      </c>
      <c r="Q121" s="283"/>
      <c r="R121" s="283"/>
    </row>
    <row r="122" spans="1:18" ht="20.25">
      <c r="A122" s="304" t="s">
        <v>775</v>
      </c>
      <c r="B122" s="275">
        <v>100</v>
      </c>
      <c r="C122" s="275"/>
      <c r="D122" s="293">
        <v>1002</v>
      </c>
      <c r="E122" s="293"/>
      <c r="F122" s="302"/>
      <c r="G122" s="293"/>
      <c r="H122" s="293">
        <v>125</v>
      </c>
      <c r="I122" s="293"/>
      <c r="J122" s="293"/>
      <c r="K122" s="293">
        <f t="shared" si="44"/>
        <v>125</v>
      </c>
      <c r="L122" s="293">
        <f>K122*D122/1000</f>
        <v>125.25</v>
      </c>
      <c r="M122" s="293"/>
      <c r="N122" s="295">
        <f t="shared" si="36"/>
        <v>125</v>
      </c>
      <c r="O122" s="295">
        <f>N122*D122/1000</f>
        <v>125.25</v>
      </c>
      <c r="P122" s="282">
        <f t="shared" si="45"/>
        <v>125.25</v>
      </c>
      <c r="Q122" s="283"/>
      <c r="R122" s="283"/>
    </row>
    <row r="123" spans="1:18" ht="20.25">
      <c r="A123" s="279" t="s">
        <v>381</v>
      </c>
      <c r="B123" s="286"/>
      <c r="C123" s="286"/>
      <c r="D123" s="297">
        <f>SUM(D119:D122)</f>
        <v>7053</v>
      </c>
      <c r="E123" s="296"/>
      <c r="F123" s="302"/>
      <c r="G123" s="293"/>
      <c r="H123" s="293"/>
      <c r="I123" s="293"/>
      <c r="J123" s="293"/>
      <c r="K123" s="293">
        <f t="shared" si="44"/>
        <v>0</v>
      </c>
      <c r="L123" s="293">
        <f>SUM(L119:L122)</f>
        <v>1510.5914400000001</v>
      </c>
      <c r="M123" s="293">
        <v>0</v>
      </c>
      <c r="N123" s="295">
        <f t="shared" si="36"/>
        <v>0</v>
      </c>
      <c r="O123" s="293">
        <f>SUM(O119:O122)</f>
        <v>1510.5914400000001</v>
      </c>
      <c r="P123" s="282">
        <f t="shared" si="45"/>
        <v>0</v>
      </c>
      <c r="Q123" s="283">
        <f aca="true" t="shared" si="46" ref="Q123:Q130">F123/O123</f>
        <v>0</v>
      </c>
      <c r="R123" s="283">
        <f>P123/L123</f>
        <v>0</v>
      </c>
    </row>
    <row r="124" spans="1:18" ht="20.25">
      <c r="A124" s="279" t="s">
        <v>614</v>
      </c>
      <c r="B124" s="286"/>
      <c r="C124" s="286"/>
      <c r="D124" s="297">
        <f>D105+D106+D107+D114+D117+D123</f>
        <v>20839.61</v>
      </c>
      <c r="E124" s="296"/>
      <c r="F124" s="302"/>
      <c r="G124" s="293"/>
      <c r="H124" s="293"/>
      <c r="I124" s="293"/>
      <c r="J124" s="293"/>
      <c r="K124" s="293">
        <f t="shared" si="44"/>
        <v>0</v>
      </c>
      <c r="L124" s="297">
        <f>L105+L106+L107+L114+L117+L123</f>
        <v>4157.8512182</v>
      </c>
      <c r="M124" s="293">
        <v>0</v>
      </c>
      <c r="N124" s="295">
        <f t="shared" si="36"/>
        <v>0</v>
      </c>
      <c r="O124" s="297">
        <f>O105+O106+O107+O114+O117+O123</f>
        <v>4157.8512182</v>
      </c>
      <c r="P124" s="282">
        <f t="shared" si="45"/>
        <v>0</v>
      </c>
      <c r="Q124" s="283">
        <f t="shared" si="46"/>
        <v>0</v>
      </c>
      <c r="R124" s="283">
        <f>P124/L124</f>
        <v>0</v>
      </c>
    </row>
    <row r="125" spans="1:18" ht="20.25">
      <c r="A125" s="279" t="s">
        <v>613</v>
      </c>
      <c r="B125" s="275">
        <v>31.97</v>
      </c>
      <c r="C125" s="275"/>
      <c r="D125" s="293">
        <v>2138.42</v>
      </c>
      <c r="E125" s="293"/>
      <c r="F125" s="302">
        <f aca="true" t="shared" si="47" ref="F125:F130">O125-P125</f>
        <v>644.3273301999999</v>
      </c>
      <c r="G125" s="293">
        <v>91.45</v>
      </c>
      <c r="H125" s="286">
        <v>175.75</v>
      </c>
      <c r="I125" s="293">
        <v>0</v>
      </c>
      <c r="J125" s="293">
        <v>2.02</v>
      </c>
      <c r="K125" s="293">
        <f t="shared" si="44"/>
        <v>269.21999999999997</v>
      </c>
      <c r="L125" s="293">
        <f aca="true" t="shared" si="48" ref="L125:L134">K125*D125/1000</f>
        <v>575.7054324</v>
      </c>
      <c r="M125" s="293">
        <v>32.09</v>
      </c>
      <c r="N125" s="295">
        <f t="shared" si="36"/>
        <v>301.30999999999995</v>
      </c>
      <c r="O125" s="295">
        <f aca="true" t="shared" si="49" ref="O125:O134">N125*D125/1000</f>
        <v>644.3273301999999</v>
      </c>
      <c r="P125" s="282">
        <f aca="true" t="shared" si="50" ref="P125:P130">D125*I125/1000</f>
        <v>0</v>
      </c>
      <c r="Q125" s="283">
        <f t="shared" si="46"/>
        <v>1</v>
      </c>
      <c r="R125" s="283">
        <f>P125/L125</f>
        <v>0</v>
      </c>
    </row>
    <row r="126" spans="1:18" ht="20.25">
      <c r="A126" s="279" t="s">
        <v>602</v>
      </c>
      <c r="B126" s="275">
        <v>10</v>
      </c>
      <c r="C126" s="275"/>
      <c r="D126" s="293">
        <v>1332.44</v>
      </c>
      <c r="E126" s="293"/>
      <c r="F126" s="302">
        <f t="shared" si="47"/>
        <v>389.5255096</v>
      </c>
      <c r="G126" s="293">
        <v>85.19</v>
      </c>
      <c r="H126" s="286">
        <v>172.87</v>
      </c>
      <c r="I126" s="293">
        <v>0</v>
      </c>
      <c r="J126" s="293">
        <v>2.19</v>
      </c>
      <c r="K126" s="293">
        <f t="shared" si="44"/>
        <v>260.25</v>
      </c>
      <c r="L126" s="293">
        <f t="shared" si="48"/>
        <v>346.76751</v>
      </c>
      <c r="M126" s="293">
        <v>32.09</v>
      </c>
      <c r="N126" s="295">
        <f t="shared" si="36"/>
        <v>292.34000000000003</v>
      </c>
      <c r="O126" s="295">
        <f t="shared" si="49"/>
        <v>389.5255096</v>
      </c>
      <c r="P126" s="282">
        <f t="shared" si="50"/>
        <v>0</v>
      </c>
      <c r="Q126" s="283">
        <f t="shared" si="46"/>
        <v>1</v>
      </c>
      <c r="R126" s="283">
        <f>P126/L126</f>
        <v>0</v>
      </c>
    </row>
    <row r="127" spans="1:18" ht="20.25">
      <c r="A127" s="279" t="s">
        <v>605</v>
      </c>
      <c r="B127" s="275">
        <v>13.81</v>
      </c>
      <c r="C127" s="275"/>
      <c r="D127" s="293">
        <v>1470.92</v>
      </c>
      <c r="E127" s="293"/>
      <c r="F127" s="302">
        <f t="shared" si="47"/>
        <v>713.5285828000001</v>
      </c>
      <c r="G127" s="293">
        <v>91.61</v>
      </c>
      <c r="H127" s="286">
        <v>360.49</v>
      </c>
      <c r="I127" s="293">
        <v>0</v>
      </c>
      <c r="J127" s="293">
        <v>0.9</v>
      </c>
      <c r="K127" s="293">
        <f t="shared" si="44"/>
        <v>453</v>
      </c>
      <c r="L127" s="293">
        <f t="shared" si="48"/>
        <v>666.32676</v>
      </c>
      <c r="M127" s="293">
        <v>32.09</v>
      </c>
      <c r="N127" s="295">
        <f t="shared" si="36"/>
        <v>485.09000000000003</v>
      </c>
      <c r="O127" s="295">
        <f t="shared" si="49"/>
        <v>713.5285828000001</v>
      </c>
      <c r="P127" s="282">
        <f t="shared" si="50"/>
        <v>0</v>
      </c>
      <c r="Q127" s="283">
        <f t="shared" si="46"/>
        <v>1</v>
      </c>
      <c r="R127" s="283">
        <f>P127/L127</f>
        <v>0</v>
      </c>
    </row>
    <row r="128" spans="1:18" ht="20.25">
      <c r="A128" s="279" t="s">
        <v>600</v>
      </c>
      <c r="B128" s="275">
        <v>16.87</v>
      </c>
      <c r="C128" s="275"/>
      <c r="D128" s="293">
        <v>566.02</v>
      </c>
      <c r="E128" s="293"/>
      <c r="F128" s="302">
        <f t="shared" si="47"/>
        <v>315.82217940000004</v>
      </c>
      <c r="G128" s="293">
        <v>168.05</v>
      </c>
      <c r="H128" s="286">
        <v>357.26</v>
      </c>
      <c r="I128" s="293">
        <v>0</v>
      </c>
      <c r="J128" s="293">
        <v>0.57</v>
      </c>
      <c r="K128" s="293">
        <f t="shared" si="44"/>
        <v>525.88</v>
      </c>
      <c r="L128" s="293">
        <f t="shared" si="48"/>
        <v>297.6585976</v>
      </c>
      <c r="M128" s="293">
        <v>32.09</v>
      </c>
      <c r="N128" s="295">
        <f t="shared" si="36"/>
        <v>557.97</v>
      </c>
      <c r="O128" s="295">
        <f t="shared" si="49"/>
        <v>315.82217940000004</v>
      </c>
      <c r="P128" s="282">
        <f t="shared" si="50"/>
        <v>0</v>
      </c>
      <c r="Q128" s="283">
        <f t="shared" si="46"/>
        <v>1</v>
      </c>
      <c r="R128" s="283"/>
    </row>
    <row r="129" spans="1:18" ht="20.25">
      <c r="A129" s="279" t="s">
        <v>601</v>
      </c>
      <c r="B129" s="275">
        <v>15.4</v>
      </c>
      <c r="C129" s="275"/>
      <c r="D129" s="293">
        <v>838.09</v>
      </c>
      <c r="E129" s="293"/>
      <c r="F129" s="302">
        <f t="shared" si="47"/>
        <v>382.87303560000004</v>
      </c>
      <c r="G129" s="293">
        <v>106.4</v>
      </c>
      <c r="H129" s="588">
        <v>318</v>
      </c>
      <c r="I129" s="293">
        <v>0</v>
      </c>
      <c r="J129" s="293">
        <v>0.35</v>
      </c>
      <c r="K129" s="293">
        <f t="shared" si="44"/>
        <v>424.75</v>
      </c>
      <c r="L129" s="293">
        <f t="shared" si="48"/>
        <v>355.97872750000005</v>
      </c>
      <c r="M129" s="293">
        <v>32.09</v>
      </c>
      <c r="N129" s="295">
        <f t="shared" si="36"/>
        <v>456.84000000000003</v>
      </c>
      <c r="O129" s="295">
        <f t="shared" si="49"/>
        <v>382.87303560000004</v>
      </c>
      <c r="P129" s="282">
        <f t="shared" si="50"/>
        <v>0</v>
      </c>
      <c r="Q129" s="283">
        <f t="shared" si="46"/>
        <v>1</v>
      </c>
      <c r="R129" s="283">
        <f>P129/L129</f>
        <v>0</v>
      </c>
    </row>
    <row r="130" spans="1:18" ht="20.25">
      <c r="A130" s="279" t="s">
        <v>603</v>
      </c>
      <c r="B130" s="275">
        <v>2.24</v>
      </c>
      <c r="C130" s="275"/>
      <c r="D130" s="293">
        <v>225.19</v>
      </c>
      <c r="E130" s="293"/>
      <c r="F130" s="302">
        <f t="shared" si="47"/>
        <v>102.43442719999999</v>
      </c>
      <c r="G130" s="293">
        <v>120.82</v>
      </c>
      <c r="H130" s="286">
        <v>301.68</v>
      </c>
      <c r="I130" s="293">
        <v>0</v>
      </c>
      <c r="J130" s="293">
        <v>0.29</v>
      </c>
      <c r="K130" s="293">
        <f t="shared" si="44"/>
        <v>422.79</v>
      </c>
      <c r="L130" s="293">
        <f t="shared" si="48"/>
        <v>95.2080801</v>
      </c>
      <c r="M130" s="293">
        <v>32.09</v>
      </c>
      <c r="N130" s="295">
        <f t="shared" si="36"/>
        <v>454.88</v>
      </c>
      <c r="O130" s="295">
        <f t="shared" si="49"/>
        <v>102.43442719999999</v>
      </c>
      <c r="P130" s="282">
        <f t="shared" si="50"/>
        <v>0</v>
      </c>
      <c r="Q130" s="283">
        <f t="shared" si="46"/>
        <v>1</v>
      </c>
      <c r="R130" s="283">
        <f>P130/L130</f>
        <v>0</v>
      </c>
    </row>
    <row r="131" spans="1:18" ht="20.25">
      <c r="A131" s="279" t="s">
        <v>774</v>
      </c>
      <c r="B131" s="275"/>
      <c r="C131" s="275"/>
      <c r="D131" s="293">
        <v>975.9</v>
      </c>
      <c r="E131" s="293"/>
      <c r="F131" s="302"/>
      <c r="G131" s="293">
        <v>169.42</v>
      </c>
      <c r="H131" s="286">
        <v>462.44</v>
      </c>
      <c r="I131" s="293"/>
      <c r="J131" s="293">
        <v>0</v>
      </c>
      <c r="K131" s="293">
        <f t="shared" si="44"/>
        <v>631.86</v>
      </c>
      <c r="L131" s="293">
        <f t="shared" si="48"/>
        <v>616.632174</v>
      </c>
      <c r="M131" s="293">
        <v>32.09</v>
      </c>
      <c r="N131" s="295">
        <f t="shared" si="36"/>
        <v>663.95</v>
      </c>
      <c r="O131" s="295">
        <f t="shared" si="49"/>
        <v>647.9488050000001</v>
      </c>
      <c r="P131" s="282"/>
      <c r="Q131" s="283"/>
      <c r="R131" s="283"/>
    </row>
    <row r="132" spans="1:18" ht="20.25">
      <c r="A132" s="279" t="s">
        <v>397</v>
      </c>
      <c r="B132" s="275">
        <v>15.19</v>
      </c>
      <c r="C132" s="275"/>
      <c r="D132" s="293">
        <v>263</v>
      </c>
      <c r="E132" s="293"/>
      <c r="F132" s="302">
        <f>O132-P132</f>
        <v>57.87052</v>
      </c>
      <c r="G132" s="293">
        <v>187.95</v>
      </c>
      <c r="H132" s="293">
        <f>'[1]ARR13-14TRT-21(PY,CY&amp;EY)'!E275</f>
        <v>0</v>
      </c>
      <c r="I132" s="293">
        <f>'[1]ARR13-14TRT-21(PY,CY&amp;EY)'!F275</f>
        <v>0</v>
      </c>
      <c r="J132" s="293">
        <f>'[1]ARR13-14TRT-21(PY,CY&amp;EY)'!G275</f>
        <v>0</v>
      </c>
      <c r="K132" s="293">
        <f t="shared" si="44"/>
        <v>187.95</v>
      </c>
      <c r="L132" s="293">
        <f t="shared" si="48"/>
        <v>49.43085</v>
      </c>
      <c r="M132" s="293">
        <v>32.09</v>
      </c>
      <c r="N132" s="295">
        <f t="shared" si="36"/>
        <v>220.04</v>
      </c>
      <c r="O132" s="295">
        <f t="shared" si="49"/>
        <v>57.87052</v>
      </c>
      <c r="P132" s="282">
        <f aca="true" t="shared" si="51" ref="P132:P137">D132*H132/1000</f>
        <v>0</v>
      </c>
      <c r="Q132" s="283">
        <f aca="true" t="shared" si="52" ref="Q132:Q137">F132/O132</f>
        <v>1</v>
      </c>
      <c r="R132" s="283">
        <f aca="true" t="shared" si="53" ref="R132:R137">P132/L132</f>
        <v>0</v>
      </c>
    </row>
    <row r="133" spans="1:18" ht="20.25">
      <c r="A133" s="279" t="s">
        <v>612</v>
      </c>
      <c r="B133" s="275">
        <v>4.25</v>
      </c>
      <c r="C133" s="275"/>
      <c r="D133" s="293">
        <v>142</v>
      </c>
      <c r="E133" s="293"/>
      <c r="F133" s="302">
        <f>O133-P133</f>
        <v>33.85564</v>
      </c>
      <c r="G133" s="293">
        <v>206.33</v>
      </c>
      <c r="H133" s="293">
        <f>'[1]ARR13-14TRT-21(PY,CY&amp;EY)'!E276</f>
        <v>0</v>
      </c>
      <c r="I133" s="293">
        <f>'[1]ARR13-14TRT-21(PY,CY&amp;EY)'!F276</f>
        <v>0</v>
      </c>
      <c r="J133" s="293">
        <f>'[1]ARR13-14TRT-21(PY,CY&amp;EY)'!G276</f>
        <v>0</v>
      </c>
      <c r="K133" s="293">
        <f t="shared" si="44"/>
        <v>206.33</v>
      </c>
      <c r="L133" s="293">
        <f t="shared" si="48"/>
        <v>29.29886</v>
      </c>
      <c r="M133" s="293">
        <v>32.09</v>
      </c>
      <c r="N133" s="295">
        <f t="shared" si="36"/>
        <v>238.42000000000002</v>
      </c>
      <c r="O133" s="295">
        <f t="shared" si="49"/>
        <v>33.85564</v>
      </c>
      <c r="P133" s="282">
        <f t="shared" si="51"/>
        <v>0</v>
      </c>
      <c r="Q133" s="283">
        <f t="shared" si="52"/>
        <v>1</v>
      </c>
      <c r="R133" s="283">
        <f t="shared" si="53"/>
        <v>0</v>
      </c>
    </row>
    <row r="134" spans="1:18" ht="20.25">
      <c r="A134" s="279" t="s">
        <v>604</v>
      </c>
      <c r="B134" s="275">
        <v>23.4</v>
      </c>
      <c r="C134" s="275"/>
      <c r="D134" s="293">
        <v>513</v>
      </c>
      <c r="E134" s="293"/>
      <c r="F134" s="302">
        <f>O134-P134</f>
        <v>155.11581</v>
      </c>
      <c r="G134" s="293">
        <v>270.28</v>
      </c>
      <c r="H134" s="293">
        <f>'[1]ARR13-14TRT-21(PY,CY&amp;EY)'!E277</f>
        <v>0</v>
      </c>
      <c r="I134" s="293">
        <f>'[1]ARR13-14TRT-21(PY,CY&amp;EY)'!F277</f>
        <v>0</v>
      </c>
      <c r="J134" s="293">
        <f>'[1]ARR13-14TRT-21(PY,CY&amp;EY)'!G277</f>
        <v>0</v>
      </c>
      <c r="K134" s="293">
        <f t="shared" si="44"/>
        <v>270.28</v>
      </c>
      <c r="L134" s="293">
        <f t="shared" si="48"/>
        <v>138.65364</v>
      </c>
      <c r="M134" s="293">
        <v>32.09</v>
      </c>
      <c r="N134" s="295">
        <f t="shared" si="36"/>
        <v>302.37</v>
      </c>
      <c r="O134" s="295">
        <f t="shared" si="49"/>
        <v>155.11581</v>
      </c>
      <c r="P134" s="282">
        <f t="shared" si="51"/>
        <v>0</v>
      </c>
      <c r="Q134" s="283">
        <f t="shared" si="52"/>
        <v>1</v>
      </c>
      <c r="R134" s="283">
        <f t="shared" si="53"/>
        <v>0</v>
      </c>
    </row>
    <row r="135" spans="1:18" ht="20.25">
      <c r="A135" s="279" t="s">
        <v>611</v>
      </c>
      <c r="B135" s="275"/>
      <c r="C135" s="275"/>
      <c r="D135" s="297">
        <f>SUM(D125:D134)</f>
        <v>8464.98</v>
      </c>
      <c r="E135" s="296"/>
      <c r="F135" s="296"/>
      <c r="G135" s="293"/>
      <c r="H135" s="293"/>
      <c r="I135" s="293"/>
      <c r="J135" s="293"/>
      <c r="K135" s="296"/>
      <c r="L135" s="297">
        <f>SUM(L125:L134)</f>
        <v>3171.6606316</v>
      </c>
      <c r="M135" s="297">
        <v>0</v>
      </c>
      <c r="N135" s="303">
        <f t="shared" si="36"/>
        <v>0</v>
      </c>
      <c r="O135" s="297">
        <f>SUM(O125:O134)</f>
        <v>3443.3018398000004</v>
      </c>
      <c r="P135" s="282">
        <f t="shared" si="51"/>
        <v>0</v>
      </c>
      <c r="Q135" s="283">
        <f t="shared" si="52"/>
        <v>0</v>
      </c>
      <c r="R135" s="283">
        <f t="shared" si="53"/>
        <v>0</v>
      </c>
    </row>
    <row r="136" spans="1:18" ht="28.5" customHeight="1">
      <c r="A136" s="299" t="s">
        <v>642</v>
      </c>
      <c r="B136" s="275"/>
      <c r="C136" s="275"/>
      <c r="D136" s="296"/>
      <c r="E136" s="296"/>
      <c r="F136" s="296"/>
      <c r="G136" s="293"/>
      <c r="H136" s="293"/>
      <c r="I136" s="293"/>
      <c r="J136" s="293"/>
      <c r="K136" s="296"/>
      <c r="L136" s="293">
        <v>3.38</v>
      </c>
      <c r="M136" s="293"/>
      <c r="N136" s="295">
        <f t="shared" si="36"/>
        <v>0</v>
      </c>
      <c r="O136" s="295">
        <v>3.38</v>
      </c>
      <c r="P136" s="282">
        <f t="shared" si="51"/>
        <v>0</v>
      </c>
      <c r="Q136" s="283">
        <f t="shared" si="52"/>
        <v>0</v>
      </c>
      <c r="R136" s="283">
        <f t="shared" si="53"/>
        <v>0</v>
      </c>
    </row>
    <row r="137" spans="1:18" ht="17.25" customHeight="1">
      <c r="A137" s="298" t="s">
        <v>381</v>
      </c>
      <c r="B137" s="286"/>
      <c r="C137" s="286"/>
      <c r="D137" s="293">
        <f>D135+D124</f>
        <v>29304.59</v>
      </c>
      <c r="E137" s="293"/>
      <c r="F137" s="293"/>
      <c r="G137" s="293"/>
      <c r="H137" s="293"/>
      <c r="I137" s="293"/>
      <c r="J137" s="293"/>
      <c r="K137" s="293">
        <f>O137/D137*1000</f>
        <v>259.4993841579084</v>
      </c>
      <c r="L137" s="293">
        <f>L135+L124+L136</f>
        <v>7332.891849800001</v>
      </c>
      <c r="M137" s="293"/>
      <c r="N137" s="295"/>
      <c r="O137" s="293">
        <f>O124+O135+O136-0.01</f>
        <v>7604.523058000001</v>
      </c>
      <c r="P137" s="282">
        <f t="shared" si="51"/>
        <v>0</v>
      </c>
      <c r="Q137" s="283">
        <f t="shared" si="52"/>
        <v>0</v>
      </c>
      <c r="R137" s="283">
        <f t="shared" si="53"/>
        <v>0</v>
      </c>
    </row>
  </sheetData>
  <sheetProtection/>
  <mergeCells count="23">
    <mergeCell ref="Q2:R2"/>
    <mergeCell ref="Q93:R93"/>
    <mergeCell ref="D49:D50"/>
    <mergeCell ref="F49:F50"/>
    <mergeCell ref="H49:H50"/>
    <mergeCell ref="K49:K50"/>
    <mergeCell ref="Q6:R6"/>
    <mergeCell ref="A93:J93"/>
    <mergeCell ref="R46:R47"/>
    <mergeCell ref="Q45:R45"/>
    <mergeCell ref="A6:J6"/>
    <mergeCell ref="L49:L50"/>
    <mergeCell ref="N49:N50"/>
    <mergeCell ref="O49:O50"/>
    <mergeCell ref="P49:P50"/>
    <mergeCell ref="Q49:Q50"/>
    <mergeCell ref="R49:R50"/>
    <mergeCell ref="Q94:Q95"/>
    <mergeCell ref="R94:R95"/>
    <mergeCell ref="Q7:Q8"/>
    <mergeCell ref="R7:R8"/>
    <mergeCell ref="A45:J45"/>
    <mergeCell ref="Q46:Q47"/>
  </mergeCells>
  <printOptions horizontalCentered="1" verticalCentered="1"/>
  <pageMargins left="0.57" right="0.15" top="0.16" bottom="0.5" header="0.16" footer="0.5"/>
  <pageSetup horizontalDpi="600" verticalDpi="600" orientation="landscape" scale="43" r:id="rId1"/>
  <rowBreaks count="2" manualBreakCount="2">
    <brk id="44" max="13" man="1"/>
    <brk id="92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view="pageBreakPreview" zoomScale="89" zoomScaleNormal="75" zoomScaleSheetLayoutView="89" zoomScalePageLayoutView="0" workbookViewId="0" topLeftCell="A31">
      <selection activeCell="I28" sqref="I28"/>
    </sheetView>
  </sheetViews>
  <sheetFormatPr defaultColWidth="9.140625" defaultRowHeight="12.75"/>
  <cols>
    <col min="1" max="1" width="7.421875" style="197" customWidth="1"/>
    <col min="2" max="2" width="47.28125" style="241" customWidth="1"/>
    <col min="3" max="3" width="14.140625" style="197" customWidth="1"/>
    <col min="4" max="4" width="12.8515625" style="197" customWidth="1"/>
    <col min="5" max="5" width="13.00390625" style="197" customWidth="1"/>
    <col min="6" max="6" width="12.8515625" style="197" customWidth="1"/>
    <col min="7" max="7" width="12.00390625" style="197" customWidth="1"/>
    <col min="8" max="8" width="15.7109375" style="197" customWidth="1"/>
    <col min="9" max="10" width="12.140625" style="197" customWidth="1"/>
    <col min="11" max="11" width="11.7109375" style="197" customWidth="1"/>
    <col min="12" max="12" width="10.7109375" style="197" customWidth="1"/>
    <col min="13" max="13" width="13.421875" style="197" customWidth="1"/>
    <col min="14" max="16384" width="9.140625" style="197" customWidth="1"/>
  </cols>
  <sheetData>
    <row r="1" spans="1:13" ht="24" customHeight="1">
      <c r="A1" s="564"/>
      <c r="B1" s="566" t="s">
        <v>341</v>
      </c>
      <c r="C1" s="564"/>
      <c r="D1" s="564"/>
      <c r="E1" s="564"/>
      <c r="F1" s="564"/>
      <c r="G1" s="564"/>
      <c r="H1" s="564"/>
      <c r="I1" s="564"/>
      <c r="J1" s="565"/>
      <c r="K1" s="252" t="s">
        <v>366</v>
      </c>
      <c r="L1" s="251" t="s">
        <v>472</v>
      </c>
      <c r="M1" s="564"/>
    </row>
    <row r="2" spans="1:13" ht="15.75">
      <c r="A2" s="564"/>
      <c r="B2" s="563" t="s">
        <v>533</v>
      </c>
      <c r="C2" s="562"/>
      <c r="D2" s="562"/>
      <c r="E2" s="562"/>
      <c r="F2" s="562"/>
      <c r="G2" s="562"/>
      <c r="H2" s="562"/>
      <c r="I2" s="562"/>
      <c r="J2" s="562"/>
      <c r="K2" s="251"/>
      <c r="L2" s="562"/>
      <c r="M2" s="562"/>
    </row>
    <row r="3" spans="1:13" s="214" customFormat="1" ht="42" customHeight="1">
      <c r="A3" s="561"/>
      <c r="B3" s="311"/>
      <c r="C3" s="561"/>
      <c r="D3" s="627" t="s">
        <v>524</v>
      </c>
      <c r="E3" s="628"/>
      <c r="F3" s="628"/>
      <c r="G3" s="628"/>
      <c r="H3" s="628"/>
      <c r="I3" s="627" t="s">
        <v>525</v>
      </c>
      <c r="J3" s="628"/>
      <c r="K3" s="628"/>
      <c r="L3" s="628"/>
      <c r="M3" s="628"/>
    </row>
    <row r="4" spans="1:13" s="214" customFormat="1" ht="15.75">
      <c r="A4" s="536" t="s">
        <v>374</v>
      </c>
      <c r="B4" s="311" t="s">
        <v>380</v>
      </c>
      <c r="C4" s="536" t="s">
        <v>375</v>
      </c>
      <c r="D4" s="629" t="s">
        <v>512</v>
      </c>
      <c r="E4" s="630"/>
      <c r="F4" s="630"/>
      <c r="G4" s="630"/>
      <c r="H4" s="630"/>
      <c r="I4" s="629" t="s">
        <v>512</v>
      </c>
      <c r="J4" s="630"/>
      <c r="K4" s="630"/>
      <c r="L4" s="630"/>
      <c r="M4" s="630"/>
    </row>
    <row r="5" spans="1:13" ht="15.75">
      <c r="A5" s="536"/>
      <c r="B5" s="560"/>
      <c r="C5" s="540"/>
      <c r="D5" s="536" t="s">
        <v>333</v>
      </c>
      <c r="E5" s="536" t="s">
        <v>377</v>
      </c>
      <c r="F5" s="322" t="s">
        <v>378</v>
      </c>
      <c r="G5" s="322" t="s">
        <v>379</v>
      </c>
      <c r="H5" s="322" t="s">
        <v>381</v>
      </c>
      <c r="I5" s="536" t="s">
        <v>333</v>
      </c>
      <c r="J5" s="536" t="s">
        <v>377</v>
      </c>
      <c r="K5" s="322" t="s">
        <v>378</v>
      </c>
      <c r="L5" s="322" t="s">
        <v>379</v>
      </c>
      <c r="M5" s="322" t="s">
        <v>381</v>
      </c>
    </row>
    <row r="6" spans="1:13" ht="15.75">
      <c r="A6" s="542">
        <v>1</v>
      </c>
      <c r="B6" s="321" t="s">
        <v>526</v>
      </c>
      <c r="C6" s="322" t="s">
        <v>367</v>
      </c>
      <c r="D6" s="323">
        <v>7977.15</v>
      </c>
      <c r="E6" s="323">
        <v>5046.52</v>
      </c>
      <c r="F6" s="323">
        <v>6617.79</v>
      </c>
      <c r="G6" s="323">
        <v>2921.93</v>
      </c>
      <c r="H6" s="324">
        <f>SUM(D6:G6)</f>
        <v>22563.39</v>
      </c>
      <c r="I6" s="559">
        <v>9401</v>
      </c>
      <c r="J6" s="559">
        <v>5625</v>
      </c>
      <c r="K6" s="559">
        <v>7500</v>
      </c>
      <c r="L6" s="559">
        <v>3630</v>
      </c>
      <c r="M6" s="558">
        <f>SUM(I6:L6)</f>
        <v>26156</v>
      </c>
    </row>
    <row r="7" spans="1:13" ht="15.75">
      <c r="A7" s="542">
        <v>2</v>
      </c>
      <c r="B7" s="321" t="s">
        <v>529</v>
      </c>
      <c r="C7" s="322" t="s">
        <v>679</v>
      </c>
      <c r="D7" s="325">
        <v>1312.299</v>
      </c>
      <c r="E7" s="325">
        <v>833.118</v>
      </c>
      <c r="F7" s="325">
        <v>1055.926</v>
      </c>
      <c r="G7" s="325">
        <v>493.478</v>
      </c>
      <c r="H7" s="166">
        <f>SUM(D7:G7)</f>
        <v>3694.821</v>
      </c>
      <c r="I7" s="558">
        <v>1657</v>
      </c>
      <c r="J7" s="558">
        <v>940</v>
      </c>
      <c r="K7" s="558">
        <v>1250</v>
      </c>
      <c r="L7" s="558">
        <v>600</v>
      </c>
      <c r="M7" s="557">
        <f>SUM(I7:L7)</f>
        <v>4447</v>
      </c>
    </row>
    <row r="8" spans="1:13" ht="15.75">
      <c r="A8" s="542">
        <v>3</v>
      </c>
      <c r="B8" s="321" t="s">
        <v>452</v>
      </c>
      <c r="C8" s="322" t="s">
        <v>369</v>
      </c>
      <c r="D8" s="556"/>
      <c r="E8" s="556"/>
      <c r="F8" s="556"/>
      <c r="G8" s="556"/>
      <c r="H8" s="556"/>
      <c r="I8" s="556"/>
      <c r="J8" s="556"/>
      <c r="K8" s="556"/>
      <c r="L8" s="556"/>
      <c r="M8" s="556"/>
    </row>
    <row r="9" spans="1:13" ht="15.75">
      <c r="A9" s="542">
        <v>4</v>
      </c>
      <c r="B9" s="321" t="s">
        <v>595</v>
      </c>
      <c r="C9" s="322" t="s">
        <v>370</v>
      </c>
      <c r="D9" s="326">
        <v>259</v>
      </c>
      <c r="E9" s="326">
        <v>290</v>
      </c>
      <c r="F9" s="326">
        <v>294</v>
      </c>
      <c r="G9" s="326">
        <v>180</v>
      </c>
      <c r="H9" s="326"/>
      <c r="I9" s="326">
        <v>265</v>
      </c>
      <c r="J9" s="326">
        <v>280</v>
      </c>
      <c r="K9" s="326">
        <v>286</v>
      </c>
      <c r="L9" s="326">
        <v>185</v>
      </c>
      <c r="M9" s="326"/>
    </row>
    <row r="10" spans="1:13" ht="15.75">
      <c r="A10" s="542">
        <v>5</v>
      </c>
      <c r="B10" s="321" t="s">
        <v>458</v>
      </c>
      <c r="C10" s="322" t="s">
        <v>370</v>
      </c>
      <c r="D10" s="536">
        <v>0</v>
      </c>
      <c r="E10" s="540">
        <v>0</v>
      </c>
      <c r="F10" s="537">
        <v>0</v>
      </c>
      <c r="G10" s="550"/>
      <c r="H10" s="540"/>
      <c r="I10" s="540"/>
      <c r="J10" s="540"/>
      <c r="K10" s="540"/>
      <c r="L10" s="540"/>
      <c r="M10" s="540"/>
    </row>
    <row r="11" spans="1:13" ht="15.75">
      <c r="A11" s="542">
        <v>6</v>
      </c>
      <c r="B11" s="321" t="s">
        <v>459</v>
      </c>
      <c r="C11" s="322"/>
      <c r="D11" s="536"/>
      <c r="E11" s="537"/>
      <c r="F11" s="537"/>
      <c r="G11" s="550"/>
      <c r="H11" s="537"/>
      <c r="I11" s="537"/>
      <c r="J11" s="537"/>
      <c r="K11" s="537"/>
      <c r="L11" s="537"/>
      <c r="M11" s="537"/>
    </row>
    <row r="12" spans="1:13" ht="15.75">
      <c r="A12" s="542">
        <v>7</v>
      </c>
      <c r="B12" s="321" t="s">
        <v>454</v>
      </c>
      <c r="C12" s="322" t="s">
        <v>370</v>
      </c>
      <c r="D12" s="327">
        <f>D9</f>
        <v>259</v>
      </c>
      <c r="E12" s="327">
        <f>E9</f>
        <v>290</v>
      </c>
      <c r="F12" s="327">
        <f>F9</f>
        <v>294</v>
      </c>
      <c r="G12" s="327">
        <f>G9</f>
        <v>180</v>
      </c>
      <c r="H12" s="327">
        <v>0</v>
      </c>
      <c r="I12" s="555">
        <f>I9</f>
        <v>265</v>
      </c>
      <c r="J12" s="555">
        <f>J9</f>
        <v>280</v>
      </c>
      <c r="K12" s="555">
        <f>K9</f>
        <v>286</v>
      </c>
      <c r="L12" s="555">
        <f>L9</f>
        <v>185</v>
      </c>
      <c r="M12" s="537"/>
    </row>
    <row r="13" spans="1:13" ht="15.75">
      <c r="A13" s="542">
        <v>8</v>
      </c>
      <c r="B13" s="321" t="s">
        <v>455</v>
      </c>
      <c r="C13" s="322" t="s">
        <v>371</v>
      </c>
      <c r="D13" s="327">
        <v>0</v>
      </c>
      <c r="E13" s="327">
        <v>0</v>
      </c>
      <c r="F13" s="327">
        <v>0</v>
      </c>
      <c r="G13" s="327">
        <v>0</v>
      </c>
      <c r="H13" s="326">
        <f>SUM(D13:G13)</f>
        <v>0</v>
      </c>
      <c r="I13" s="538"/>
      <c r="J13" s="538"/>
      <c r="K13" s="538"/>
      <c r="L13" s="538"/>
      <c r="M13" s="537"/>
    </row>
    <row r="14" spans="1:13" ht="15.75">
      <c r="A14" s="542">
        <v>9</v>
      </c>
      <c r="B14" s="321" t="s">
        <v>456</v>
      </c>
      <c r="C14" s="322" t="s">
        <v>371</v>
      </c>
      <c r="D14" s="327">
        <f>D6*D12/1000</f>
        <v>2066.08185</v>
      </c>
      <c r="E14" s="327">
        <f>E6*E12/1000</f>
        <v>1463.4908</v>
      </c>
      <c r="F14" s="327">
        <f>F6*F12/1000</f>
        <v>1945.63026</v>
      </c>
      <c r="G14" s="327">
        <f>G6*G12/1000</f>
        <v>525.9474</v>
      </c>
      <c r="H14" s="326">
        <f>SUM(D14:G14)</f>
        <v>6001.15031</v>
      </c>
      <c r="I14" s="327">
        <f>I6*I12/1000</f>
        <v>2491.265</v>
      </c>
      <c r="J14" s="327">
        <f>J6*J12/1000</f>
        <v>1575</v>
      </c>
      <c r="K14" s="327">
        <f>K6*K12/1000</f>
        <v>2145</v>
      </c>
      <c r="L14" s="327">
        <f>L6*L12/1000</f>
        <v>671.55</v>
      </c>
      <c r="M14" s="554">
        <f>SUM(I14:L14)</f>
        <v>6882.815</v>
      </c>
    </row>
    <row r="15" spans="1:13" ht="15.75">
      <c r="A15" s="542">
        <v>10</v>
      </c>
      <c r="B15" s="321" t="s">
        <v>457</v>
      </c>
      <c r="C15" s="322" t="s">
        <v>371</v>
      </c>
      <c r="D15" s="327"/>
      <c r="E15" s="326"/>
      <c r="F15" s="326"/>
      <c r="G15" s="328"/>
      <c r="H15" s="326"/>
      <c r="I15" s="538"/>
      <c r="J15" s="538"/>
      <c r="K15" s="538"/>
      <c r="L15" s="538"/>
      <c r="M15" s="537"/>
    </row>
    <row r="16" spans="1:13" ht="15.75">
      <c r="A16" s="542">
        <v>11</v>
      </c>
      <c r="B16" s="321" t="s">
        <v>460</v>
      </c>
      <c r="C16" s="322" t="s">
        <v>371</v>
      </c>
      <c r="D16" s="327"/>
      <c r="E16" s="326"/>
      <c r="F16" s="326"/>
      <c r="G16" s="328"/>
      <c r="H16" s="326"/>
      <c r="I16" s="538"/>
      <c r="J16" s="538"/>
      <c r="K16" s="538"/>
      <c r="L16" s="538"/>
      <c r="M16" s="537"/>
    </row>
    <row r="17" spans="1:13" ht="15.75">
      <c r="A17" s="542">
        <v>12</v>
      </c>
      <c r="B17" s="321" t="s">
        <v>463</v>
      </c>
      <c r="C17" s="322" t="s">
        <v>371</v>
      </c>
      <c r="D17" s="536"/>
      <c r="E17" s="537"/>
      <c r="F17" s="537"/>
      <c r="G17" s="550"/>
      <c r="H17" s="538"/>
      <c r="I17" s="538"/>
      <c r="J17" s="538"/>
      <c r="K17" s="538"/>
      <c r="L17" s="538"/>
      <c r="M17" s="537"/>
    </row>
    <row r="18" spans="1:13" s="214" customFormat="1" ht="15.75">
      <c r="A18" s="542">
        <v>13</v>
      </c>
      <c r="B18" s="543" t="s">
        <v>511</v>
      </c>
      <c r="C18" s="322" t="s">
        <v>371</v>
      </c>
      <c r="D18" s="553">
        <f>D14</f>
        <v>2066.08185</v>
      </c>
      <c r="E18" s="553">
        <f>E14</f>
        <v>1463.4908</v>
      </c>
      <c r="F18" s="553">
        <f>F14</f>
        <v>1945.63026</v>
      </c>
      <c r="G18" s="553">
        <f>G14</f>
        <v>525.9474</v>
      </c>
      <c r="H18" s="544">
        <f>SUM(D18:G18)</f>
        <v>6001.15031</v>
      </c>
      <c r="I18" s="544">
        <f>I14</f>
        <v>2491.265</v>
      </c>
      <c r="J18" s="544">
        <f>J14</f>
        <v>1575</v>
      </c>
      <c r="K18" s="544">
        <f>K14</f>
        <v>2145</v>
      </c>
      <c r="L18" s="544">
        <f>L14</f>
        <v>671.55</v>
      </c>
      <c r="M18" s="544">
        <f>SUM(I18:L18)</f>
        <v>6882.815</v>
      </c>
    </row>
    <row r="19" spans="1:13" ht="15.75">
      <c r="A19" s="542">
        <v>14</v>
      </c>
      <c r="B19" s="552" t="s">
        <v>468</v>
      </c>
      <c r="C19" s="322" t="s">
        <v>372</v>
      </c>
      <c r="D19" s="536"/>
      <c r="E19" s="537"/>
      <c r="F19" s="537"/>
      <c r="G19" s="550"/>
      <c r="H19" s="538"/>
      <c r="I19" s="538"/>
      <c r="J19" s="538"/>
      <c r="K19" s="538"/>
      <c r="L19" s="538"/>
      <c r="M19" s="537"/>
    </row>
    <row r="20" spans="1:13" ht="15.75">
      <c r="A20" s="542">
        <v>15</v>
      </c>
      <c r="B20" s="552" t="s">
        <v>467</v>
      </c>
      <c r="C20" s="322" t="s">
        <v>371</v>
      </c>
      <c r="D20" s="536"/>
      <c r="E20" s="537"/>
      <c r="F20" s="537"/>
      <c r="G20" s="550"/>
      <c r="H20" s="538"/>
      <c r="I20" s="538"/>
      <c r="J20" s="538"/>
      <c r="K20" s="538"/>
      <c r="L20" s="538"/>
      <c r="M20" s="537"/>
    </row>
    <row r="21" spans="1:13" ht="15.75">
      <c r="A21" s="542">
        <v>16</v>
      </c>
      <c r="B21" s="543" t="s">
        <v>513</v>
      </c>
      <c r="C21" s="322" t="s">
        <v>371</v>
      </c>
      <c r="D21" s="536"/>
      <c r="E21" s="537"/>
      <c r="F21" s="537"/>
      <c r="G21" s="550"/>
      <c r="H21" s="538"/>
      <c r="I21" s="538"/>
      <c r="J21" s="538"/>
      <c r="K21" s="538"/>
      <c r="L21" s="538"/>
      <c r="M21" s="537"/>
    </row>
    <row r="22" spans="1:13" ht="15.75">
      <c r="A22" s="547"/>
      <c r="B22" s="551"/>
      <c r="C22" s="322"/>
      <c r="D22" s="536"/>
      <c r="E22" s="537"/>
      <c r="F22" s="537"/>
      <c r="G22" s="550"/>
      <c r="H22" s="538"/>
      <c r="I22" s="538"/>
      <c r="J22" s="538"/>
      <c r="K22" s="538"/>
      <c r="L22" s="538"/>
      <c r="M22" s="537"/>
    </row>
    <row r="23" spans="1:15" ht="31.5">
      <c r="A23" s="542">
        <v>17</v>
      </c>
      <c r="B23" s="242" t="s">
        <v>514</v>
      </c>
      <c r="C23" s="322"/>
      <c r="D23" s="248" t="s">
        <v>387</v>
      </c>
      <c r="E23" s="248" t="s">
        <v>515</v>
      </c>
      <c r="F23" s="549" t="s">
        <v>764</v>
      </c>
      <c r="G23" s="549" t="s">
        <v>517</v>
      </c>
      <c r="H23" s="322" t="s">
        <v>381</v>
      </c>
      <c r="I23" s="248" t="s">
        <v>387</v>
      </c>
      <c r="J23" s="248" t="s">
        <v>515</v>
      </c>
      <c r="K23" s="549" t="s">
        <v>516</v>
      </c>
      <c r="L23" s="549" t="s">
        <v>517</v>
      </c>
      <c r="M23" s="322" t="s">
        <v>381</v>
      </c>
      <c r="N23" s="548"/>
      <c r="O23" s="548"/>
    </row>
    <row r="24" spans="1:13" ht="15.75">
      <c r="A24" s="547">
        <v>18</v>
      </c>
      <c r="B24" s="321" t="s">
        <v>531</v>
      </c>
      <c r="C24" s="322" t="s">
        <v>367</v>
      </c>
      <c r="D24" s="537">
        <v>3.3</v>
      </c>
      <c r="E24" s="537">
        <v>0</v>
      </c>
      <c r="F24" s="537">
        <v>3.73</v>
      </c>
      <c r="G24" s="538">
        <v>0</v>
      </c>
      <c r="H24" s="538"/>
      <c r="I24" s="631">
        <v>10</v>
      </c>
      <c r="J24" s="632"/>
      <c r="K24" s="538"/>
      <c r="L24" s="538"/>
      <c r="M24" s="538">
        <f>SUM(I24:L24)</f>
        <v>10</v>
      </c>
    </row>
    <row r="25" spans="1:13" ht="15.75">
      <c r="A25" s="542">
        <f aca="true" t="shared" si="0" ref="A25:A42">A24+1</f>
        <v>19</v>
      </c>
      <c r="B25" s="321" t="s">
        <v>528</v>
      </c>
      <c r="C25" s="322" t="s">
        <v>368</v>
      </c>
      <c r="D25" s="537"/>
      <c r="E25" s="537"/>
      <c r="F25" s="537"/>
      <c r="G25" s="538">
        <v>0</v>
      </c>
      <c r="H25" s="538"/>
      <c r="I25" s="538"/>
      <c r="J25" s="538"/>
      <c r="K25" s="538"/>
      <c r="L25" s="538"/>
      <c r="M25" s="537"/>
    </row>
    <row r="26" spans="1:13" ht="15.75">
      <c r="A26" s="542">
        <f t="shared" si="0"/>
        <v>20</v>
      </c>
      <c r="B26" s="321" t="s">
        <v>452</v>
      </c>
      <c r="C26" s="322" t="s">
        <v>369</v>
      </c>
      <c r="D26" s="537">
        <v>0</v>
      </c>
      <c r="E26" s="537">
        <v>0</v>
      </c>
      <c r="F26" s="537">
        <v>0</v>
      </c>
      <c r="G26" s="538">
        <v>0</v>
      </c>
      <c r="H26" s="538"/>
      <c r="I26" s="538"/>
      <c r="J26" s="538"/>
      <c r="K26" s="538"/>
      <c r="L26" s="538"/>
      <c r="M26" s="537"/>
    </row>
    <row r="27" spans="1:13" ht="15.75">
      <c r="A27" s="542">
        <f t="shared" si="0"/>
        <v>21</v>
      </c>
      <c r="B27" s="321" t="s">
        <v>453</v>
      </c>
      <c r="C27" s="322" t="s">
        <v>370</v>
      </c>
      <c r="D27" s="537">
        <v>670</v>
      </c>
      <c r="E27" s="537">
        <v>670</v>
      </c>
      <c r="F27" s="537">
        <v>670</v>
      </c>
      <c r="G27" s="538">
        <v>0</v>
      </c>
      <c r="H27" s="538"/>
      <c r="I27" s="631">
        <v>670</v>
      </c>
      <c r="J27" s="632"/>
      <c r="K27" s="538"/>
      <c r="L27" s="538"/>
      <c r="M27" s="537"/>
    </row>
    <row r="28" spans="1:13" ht="15.75">
      <c r="A28" s="542">
        <f t="shared" si="0"/>
        <v>22</v>
      </c>
      <c r="B28" s="321" t="s">
        <v>458</v>
      </c>
      <c r="C28" s="322" t="s">
        <v>370</v>
      </c>
      <c r="D28" s="537">
        <v>0</v>
      </c>
      <c r="E28" s="537">
        <v>0</v>
      </c>
      <c r="F28" s="537">
        <v>0</v>
      </c>
      <c r="G28" s="538">
        <v>0</v>
      </c>
      <c r="H28" s="538"/>
      <c r="I28" s="538"/>
      <c r="J28" s="538"/>
      <c r="K28" s="538"/>
      <c r="L28" s="538"/>
      <c r="M28" s="537"/>
    </row>
    <row r="29" spans="1:13" ht="15.75">
      <c r="A29" s="542">
        <f t="shared" si="0"/>
        <v>23</v>
      </c>
      <c r="B29" s="321" t="s">
        <v>459</v>
      </c>
      <c r="C29" s="322"/>
      <c r="D29" s="541">
        <v>0</v>
      </c>
      <c r="E29" s="540">
        <v>0</v>
      </c>
      <c r="F29" s="537">
        <v>0</v>
      </c>
      <c r="G29" s="546"/>
      <c r="H29" s="546"/>
      <c r="I29" s="538"/>
      <c r="J29" s="538"/>
      <c r="K29" s="538"/>
      <c r="L29" s="538"/>
      <c r="M29" s="537"/>
    </row>
    <row r="30" spans="1:13" ht="15.75">
      <c r="A30" s="542">
        <f t="shared" si="0"/>
        <v>24</v>
      </c>
      <c r="B30" s="321" t="s">
        <v>455</v>
      </c>
      <c r="C30" s="322" t="s">
        <v>371</v>
      </c>
      <c r="D30" s="541">
        <v>0</v>
      </c>
      <c r="E30" s="534">
        <v>0</v>
      </c>
      <c r="F30" s="537">
        <v>0</v>
      </c>
      <c r="G30" s="540">
        <v>0</v>
      </c>
      <c r="H30" s="540"/>
      <c r="I30" s="538"/>
      <c r="J30" s="538"/>
      <c r="K30" s="538"/>
      <c r="L30" s="538"/>
      <c r="M30" s="537"/>
    </row>
    <row r="31" spans="1:13" ht="15.75">
      <c r="A31" s="542">
        <f t="shared" si="0"/>
        <v>25</v>
      </c>
      <c r="B31" s="321" t="s">
        <v>456</v>
      </c>
      <c r="C31" s="322" t="s">
        <v>371</v>
      </c>
      <c r="D31" s="545">
        <f>D27*D24/1000</f>
        <v>2.211</v>
      </c>
      <c r="E31" s="545">
        <f>E27*E24/1000</f>
        <v>0</v>
      </c>
      <c r="F31" s="545">
        <f>F27*F24/1000</f>
        <v>2.4991</v>
      </c>
      <c r="G31" s="537">
        <v>0</v>
      </c>
      <c r="H31" s="545">
        <f>SUM(D31:G31)</f>
        <v>4.7101</v>
      </c>
      <c r="I31" s="631">
        <f>I24*I27/1000</f>
        <v>6.7</v>
      </c>
      <c r="J31" s="632"/>
      <c r="K31" s="538"/>
      <c r="L31" s="538"/>
      <c r="M31" s="537"/>
    </row>
    <row r="32" spans="1:13" ht="15.75">
      <c r="A32" s="542">
        <f t="shared" si="0"/>
        <v>26</v>
      </c>
      <c r="B32" s="321" t="s">
        <v>457</v>
      </c>
      <c r="C32" s="322" t="s">
        <v>371</v>
      </c>
      <c r="D32" s="537">
        <v>0</v>
      </c>
      <c r="E32" s="537">
        <v>0</v>
      </c>
      <c r="F32" s="537">
        <v>0</v>
      </c>
      <c r="G32" s="537">
        <v>0</v>
      </c>
      <c r="H32" s="537"/>
      <c r="I32" s="538"/>
      <c r="J32" s="538"/>
      <c r="K32" s="538"/>
      <c r="L32" s="538"/>
      <c r="M32" s="537"/>
    </row>
    <row r="33" spans="1:13" ht="15.75">
      <c r="A33" s="542">
        <f t="shared" si="0"/>
        <v>27</v>
      </c>
      <c r="B33" s="321" t="s">
        <v>460</v>
      </c>
      <c r="C33" s="322" t="s">
        <v>371</v>
      </c>
      <c r="D33" s="537">
        <v>0</v>
      </c>
      <c r="E33" s="537">
        <v>0</v>
      </c>
      <c r="F33" s="537"/>
      <c r="G33" s="537"/>
      <c r="H33" s="537"/>
      <c r="I33" s="538"/>
      <c r="J33" s="538"/>
      <c r="K33" s="538"/>
      <c r="L33" s="538"/>
      <c r="M33" s="537"/>
    </row>
    <row r="34" spans="1:13" ht="15.75">
      <c r="A34" s="542">
        <f t="shared" si="0"/>
        <v>28</v>
      </c>
      <c r="B34" s="321" t="s">
        <v>462</v>
      </c>
      <c r="C34" s="322" t="s">
        <v>371</v>
      </c>
      <c r="D34" s="537"/>
      <c r="E34" s="537"/>
      <c r="F34" s="537"/>
      <c r="G34" s="537"/>
      <c r="H34" s="537"/>
      <c r="I34" s="538"/>
      <c r="J34" s="538"/>
      <c r="K34" s="538"/>
      <c r="L34" s="538"/>
      <c r="M34" s="537"/>
    </row>
    <row r="35" spans="1:13" s="214" customFormat="1" ht="15.75">
      <c r="A35" s="542">
        <f t="shared" si="0"/>
        <v>29</v>
      </c>
      <c r="B35" s="543" t="s">
        <v>518</v>
      </c>
      <c r="C35" s="322" t="s">
        <v>371</v>
      </c>
      <c r="D35" s="534">
        <f>D31</f>
        <v>2.211</v>
      </c>
      <c r="E35" s="534">
        <f>E31</f>
        <v>0</v>
      </c>
      <c r="F35" s="534">
        <f>F31</f>
        <v>2.4991</v>
      </c>
      <c r="G35" s="534">
        <v>0</v>
      </c>
      <c r="H35" s="534">
        <f>SUM(D35:G35)</f>
        <v>4.7101</v>
      </c>
      <c r="I35" s="625">
        <f>I31</f>
        <v>6.7</v>
      </c>
      <c r="J35" s="626"/>
      <c r="K35" s="544"/>
      <c r="L35" s="544"/>
      <c r="M35" s="544">
        <f>SUM(I35:L35)</f>
        <v>6.7</v>
      </c>
    </row>
    <row r="36" spans="1:13" ht="15.75">
      <c r="A36" s="542">
        <f t="shared" si="0"/>
        <v>30</v>
      </c>
      <c r="B36" s="321" t="s">
        <v>468</v>
      </c>
      <c r="C36" s="322" t="s">
        <v>372</v>
      </c>
      <c r="D36" s="541"/>
      <c r="E36" s="534"/>
      <c r="F36" s="537"/>
      <c r="G36" s="540"/>
      <c r="H36" s="540"/>
      <c r="I36" s="538"/>
      <c r="J36" s="538"/>
      <c r="K36" s="538"/>
      <c r="L36" s="538"/>
      <c r="M36" s="537"/>
    </row>
    <row r="37" spans="1:13" ht="15.75">
      <c r="A37" s="542">
        <f t="shared" si="0"/>
        <v>31</v>
      </c>
      <c r="B37" s="321" t="s">
        <v>467</v>
      </c>
      <c r="C37" s="322" t="s">
        <v>371</v>
      </c>
      <c r="D37" s="541"/>
      <c r="E37" s="540"/>
      <c r="F37" s="537"/>
      <c r="G37" s="540"/>
      <c r="H37" s="540"/>
      <c r="I37" s="538"/>
      <c r="J37" s="538"/>
      <c r="K37" s="538"/>
      <c r="L37" s="538"/>
      <c r="M37" s="537"/>
    </row>
    <row r="38" spans="1:13" ht="15.75">
      <c r="A38" s="542">
        <f t="shared" si="0"/>
        <v>32</v>
      </c>
      <c r="B38" s="543" t="s">
        <v>466</v>
      </c>
      <c r="C38" s="322" t="s">
        <v>371</v>
      </c>
      <c r="D38" s="541"/>
      <c r="E38" s="540"/>
      <c r="F38" s="537"/>
      <c r="G38" s="540"/>
      <c r="H38" s="540"/>
      <c r="I38" s="538"/>
      <c r="J38" s="538"/>
      <c r="K38" s="538"/>
      <c r="L38" s="538"/>
      <c r="M38" s="537"/>
    </row>
    <row r="39" spans="1:13" ht="15.75">
      <c r="A39" s="542">
        <f t="shared" si="0"/>
        <v>33</v>
      </c>
      <c r="B39" s="321" t="s">
        <v>461</v>
      </c>
      <c r="C39" s="322" t="s">
        <v>373</v>
      </c>
      <c r="D39" s="541"/>
      <c r="E39" s="540"/>
      <c r="F39" s="537"/>
      <c r="G39" s="540"/>
      <c r="H39" s="540"/>
      <c r="I39" s="538"/>
      <c r="J39" s="538"/>
      <c r="K39" s="538"/>
      <c r="L39" s="538"/>
      <c r="M39" s="537"/>
    </row>
    <row r="40" spans="1:13" ht="15.75">
      <c r="A40" s="542">
        <f t="shared" si="0"/>
        <v>34</v>
      </c>
      <c r="B40" s="321" t="s">
        <v>461</v>
      </c>
      <c r="C40" s="322" t="s">
        <v>371</v>
      </c>
      <c r="D40" s="541"/>
      <c r="E40" s="540"/>
      <c r="F40" s="537"/>
      <c r="G40" s="540"/>
      <c r="H40" s="540"/>
      <c r="I40" s="538"/>
      <c r="J40" s="538"/>
      <c r="K40" s="538"/>
      <c r="L40" s="538"/>
      <c r="M40" s="537"/>
    </row>
    <row r="41" spans="1:13" ht="23.25" customHeight="1">
      <c r="A41" s="542">
        <f t="shared" si="0"/>
        <v>35</v>
      </c>
      <c r="B41" s="329" t="s">
        <v>520</v>
      </c>
      <c r="C41" s="322" t="s">
        <v>371</v>
      </c>
      <c r="D41" s="541"/>
      <c r="E41" s="540"/>
      <c r="F41" s="537"/>
      <c r="G41" s="539"/>
      <c r="H41" s="539"/>
      <c r="I41" s="538"/>
      <c r="J41" s="538"/>
      <c r="K41" s="538"/>
      <c r="L41" s="538"/>
      <c r="M41" s="537"/>
    </row>
    <row r="42" spans="1:13" ht="24" customHeight="1">
      <c r="A42" s="536">
        <f t="shared" si="0"/>
        <v>36</v>
      </c>
      <c r="B42" s="535" t="s">
        <v>519</v>
      </c>
      <c r="C42" s="322" t="s">
        <v>371</v>
      </c>
      <c r="D42" s="534">
        <f>D35+D18</f>
        <v>2068.29285</v>
      </c>
      <c r="E42" s="534">
        <f>E35+E18</f>
        <v>1463.4908</v>
      </c>
      <c r="F42" s="534">
        <f>F35+F18</f>
        <v>1948.12936</v>
      </c>
      <c r="G42" s="534">
        <f>G35+G18</f>
        <v>525.9474</v>
      </c>
      <c r="H42" s="534">
        <f>SUM(D42:G42)</f>
        <v>6005.86041</v>
      </c>
      <c r="I42" s="534">
        <f>I35+I18</f>
        <v>2497.9649999999997</v>
      </c>
      <c r="J42" s="534">
        <f>J35+J18</f>
        <v>1575</v>
      </c>
      <c r="K42" s="534">
        <f>K35+K18</f>
        <v>2145</v>
      </c>
      <c r="L42" s="534">
        <f>L35+L18</f>
        <v>671.55</v>
      </c>
      <c r="M42" s="534">
        <f>SUM(I42:L42)</f>
        <v>6889.515</v>
      </c>
    </row>
  </sheetData>
  <sheetProtection/>
  <mergeCells count="8">
    <mergeCell ref="I35:J35"/>
    <mergeCell ref="D3:H3"/>
    <mergeCell ref="I3:M3"/>
    <mergeCell ref="I4:M4"/>
    <mergeCell ref="D4:H4"/>
    <mergeCell ref="I24:J24"/>
    <mergeCell ref="I27:J27"/>
    <mergeCell ref="I31:J31"/>
  </mergeCells>
  <printOptions gridLines="1"/>
  <pageMargins left="0.75" right="0.26" top="0.48" bottom="0.33" header="0.39" footer="0.25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O.E.R.C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CHAIRMAN</dc:creator>
  <cp:keywords/>
  <dc:description/>
  <cp:lastModifiedBy>banshi</cp:lastModifiedBy>
  <cp:lastPrinted>2014-11-30T13:22:34Z</cp:lastPrinted>
  <dcterms:created xsi:type="dcterms:W3CDTF">2000-07-18T06:33:30Z</dcterms:created>
  <dcterms:modified xsi:type="dcterms:W3CDTF">2014-11-30T13:37:23Z</dcterms:modified>
  <cp:category/>
  <cp:version/>
  <cp:contentType/>
  <cp:contentStatus/>
</cp:coreProperties>
</file>